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BC14D5B3-C5F5-4098-B41F-D97FEC2F009E}" xr6:coauthVersionLast="47" xr6:coauthVersionMax="47" xr10:uidLastSave="{00000000-0000-0000-0000-000000000000}"/>
  <bookViews>
    <workbookView xWindow="28680" yWindow="-120" windowWidth="29040" windowHeight="15720" xr2:uid="{D75CAC9A-6825-4B88-8C54-37F447F7C08A}"/>
  </bookViews>
  <sheets>
    <sheet name="Cover" sheetId="47" r:id="rId1"/>
    <sheet name="Review matrix" sheetId="50" r:id="rId2"/>
    <sheet name="Variables" sheetId="65" r:id="rId3"/>
    <sheet name="Search results" sheetId="57" r:id="rId4"/>
  </sheets>
  <externalReferences>
    <externalReference r:id="rId5"/>
  </externalReferences>
  <definedNames>
    <definedName name="_xlnm._FilterDatabase" localSheetId="1" hidden="1">'Review matrix'!$A$2:$AN$88</definedName>
    <definedName name="_xlnm._FilterDatabase" localSheetId="3" hidden="1">'Search results'!$A$1:$J$959</definedName>
    <definedName name="_xlnm._FilterDatabase" localSheetId="2" hidden="1">Variables!$A$1:$B$28</definedName>
    <definedName name="BackgroundCalc">'[1]4.1 Decision tool background'!$D$6:$P$20</definedName>
    <definedName name="classallTitle">#REF!</definedName>
    <definedName name="Mapping">#REF!</definedName>
    <definedName name="Meilenstein_Markierung">#REF!</definedName>
    <definedName name="Projekt_Start">#REF!</definedName>
    <definedName name="Scroll_Schrittwei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50" l="1"/>
  <c r="L1" i="57" l="1"/>
  <c r="G959" i="57" l="1"/>
  <c r="G956" i="57"/>
  <c r="G951" i="57"/>
  <c r="G949" i="57"/>
  <c r="G947" i="57"/>
  <c r="G946" i="57"/>
  <c r="G945" i="57"/>
  <c r="G944" i="57"/>
  <c r="G940" i="57"/>
  <c r="G935" i="57"/>
  <c r="G934" i="57"/>
  <c r="G933" i="57"/>
  <c r="G932" i="57"/>
  <c r="G931" i="57"/>
  <c r="G928" i="57"/>
  <c r="G926" i="57"/>
  <c r="G923" i="57"/>
  <c r="G922" i="57"/>
  <c r="G921" i="57"/>
  <c r="G916" i="57"/>
  <c r="G915" i="57"/>
  <c r="G907" i="57"/>
  <c r="G905" i="57"/>
  <c r="G901" i="57"/>
  <c r="G900" i="57"/>
  <c r="G899" i="57"/>
  <c r="G896" i="57"/>
  <c r="G891" i="57"/>
  <c r="G890" i="57"/>
  <c r="G889" i="57"/>
  <c r="G888" i="57"/>
  <c r="G887" i="57"/>
  <c r="G885" i="57"/>
  <c r="G880" i="57"/>
  <c r="G879" i="57"/>
  <c r="G878" i="57"/>
  <c r="G877" i="57"/>
  <c r="G876" i="57"/>
  <c r="G874" i="57"/>
  <c r="G872" i="57"/>
  <c r="G871" i="57"/>
  <c r="G870" i="57"/>
  <c r="G868" i="57"/>
  <c r="G866" i="57"/>
  <c r="G864" i="57"/>
  <c r="G863" i="57"/>
  <c r="G862" i="57"/>
  <c r="G857" i="57"/>
  <c r="G856" i="57"/>
  <c r="G853" i="57"/>
  <c r="G852" i="57"/>
  <c r="G851" i="57"/>
  <c r="G850" i="57"/>
  <c r="G849" i="57"/>
  <c r="G848" i="57"/>
  <c r="G847" i="57"/>
  <c r="G846" i="57"/>
  <c r="G845" i="57"/>
  <c r="G844" i="57"/>
  <c r="G842" i="57"/>
  <c r="G841" i="57"/>
  <c r="G839" i="57"/>
  <c r="G838" i="57"/>
  <c r="G834" i="57"/>
  <c r="G832" i="57"/>
  <c r="G831" i="57"/>
  <c r="G829" i="57"/>
  <c r="G825" i="57"/>
  <c r="G824" i="57"/>
  <c r="G822" i="57"/>
  <c r="G820" i="57"/>
  <c r="G819" i="57"/>
  <c r="G817" i="57"/>
  <c r="G816" i="57"/>
  <c r="G815" i="57"/>
  <c r="G814" i="57"/>
  <c r="G812" i="57"/>
  <c r="G810" i="57"/>
  <c r="G809" i="57"/>
  <c r="G808" i="57"/>
  <c r="G806" i="57"/>
  <c r="G805" i="57"/>
  <c r="G798" i="57"/>
  <c r="G796" i="57"/>
  <c r="G795" i="57"/>
  <c r="G791" i="57"/>
  <c r="G788" i="57"/>
  <c r="G783" i="57"/>
  <c r="G782" i="57"/>
  <c r="G781" i="57"/>
  <c r="G780" i="57"/>
  <c r="G778" i="57"/>
  <c r="G777" i="57"/>
  <c r="G772" i="57"/>
  <c r="G771" i="57"/>
  <c r="G768" i="57"/>
  <c r="G767" i="57"/>
  <c r="G765" i="57"/>
  <c r="G764" i="57"/>
  <c r="G763" i="57"/>
  <c r="G760" i="57"/>
  <c r="G759" i="57"/>
  <c r="G757" i="57"/>
  <c r="G756" i="57"/>
  <c r="G755" i="57"/>
  <c r="G754" i="57"/>
  <c r="G752" i="57"/>
  <c r="G751" i="57"/>
  <c r="G750" i="57"/>
  <c r="G748" i="57"/>
  <c r="G747" i="57"/>
  <c r="G746" i="57"/>
  <c r="G743" i="57"/>
  <c r="G742" i="57"/>
  <c r="G738" i="57"/>
  <c r="G733" i="57"/>
  <c r="G732" i="57"/>
  <c r="G731" i="57"/>
  <c r="G730" i="57"/>
  <c r="G729" i="57"/>
  <c r="G726" i="57"/>
  <c r="G725" i="57"/>
  <c r="G724" i="57"/>
  <c r="G720" i="57"/>
  <c r="G718" i="57"/>
  <c r="G716" i="57"/>
  <c r="G715" i="57"/>
  <c r="G714" i="57"/>
  <c r="G713" i="57"/>
  <c r="G712" i="57"/>
  <c r="G711" i="57"/>
  <c r="G708" i="57"/>
  <c r="G706" i="57"/>
  <c r="G705" i="57"/>
  <c r="G704" i="57"/>
  <c r="G703" i="57"/>
  <c r="G702" i="57"/>
  <c r="G700" i="57"/>
  <c r="G699" i="57"/>
  <c r="G690" i="57"/>
  <c r="G687" i="57"/>
  <c r="G684" i="57"/>
  <c r="G683" i="57"/>
  <c r="G682" i="57"/>
  <c r="G677" i="57"/>
  <c r="G676" i="57"/>
  <c r="G675" i="57"/>
  <c r="G674" i="57"/>
  <c r="G673" i="57"/>
  <c r="G672" i="57"/>
  <c r="G670" i="57"/>
  <c r="G669" i="57"/>
  <c r="G668" i="57"/>
  <c r="G667" i="57"/>
  <c r="G666" i="57"/>
  <c r="G663" i="57"/>
  <c r="G662" i="57"/>
  <c r="G658" i="57"/>
  <c r="G652" i="57"/>
  <c r="G649" i="57"/>
  <c r="G648" i="57"/>
  <c r="G640" i="57"/>
  <c r="G632" i="57"/>
  <c r="G630" i="57"/>
  <c r="G628" i="57"/>
  <c r="G625" i="57"/>
  <c r="G621" i="57"/>
  <c r="G620" i="57"/>
  <c r="G617" i="57"/>
  <c r="G616" i="57"/>
  <c r="G610" i="57"/>
  <c r="G608" i="57"/>
  <c r="G607" i="57"/>
  <c r="G606" i="57"/>
  <c r="G605" i="57"/>
  <c r="G604" i="57"/>
  <c r="G603" i="57"/>
  <c r="G598" i="57"/>
  <c r="G597" i="57"/>
  <c r="G595" i="57"/>
  <c r="G593" i="57"/>
  <c r="G592" i="57"/>
  <c r="G590" i="57"/>
  <c r="G589" i="57"/>
  <c r="G585" i="57"/>
  <c r="G583" i="57"/>
  <c r="G582" i="57"/>
  <c r="G580" i="57"/>
  <c r="G578" i="57"/>
  <c r="G577" i="57"/>
  <c r="G576" i="57"/>
  <c r="G570" i="57"/>
  <c r="G568" i="57"/>
  <c r="G564" i="57"/>
  <c r="G562" i="57"/>
  <c r="G561" i="57"/>
  <c r="G560" i="57"/>
  <c r="G559" i="57"/>
  <c r="G558" i="57"/>
  <c r="G554" i="57"/>
  <c r="G551" i="57"/>
  <c r="G550" i="57"/>
  <c r="G548" i="57"/>
  <c r="G545" i="57"/>
  <c r="G544" i="57"/>
  <c r="G543" i="57"/>
  <c r="G540" i="57"/>
  <c r="G539" i="57"/>
  <c r="G536" i="57"/>
  <c r="G534" i="57"/>
  <c r="G532" i="57"/>
  <c r="G530" i="57"/>
  <c r="G528" i="57"/>
  <c r="G525" i="57"/>
  <c r="G524" i="57"/>
  <c r="G521" i="57"/>
  <c r="G512" i="57"/>
  <c r="G511" i="57"/>
  <c r="G508" i="57"/>
  <c r="G507" i="57"/>
  <c r="G500" i="57"/>
  <c r="G497" i="57"/>
  <c r="G494" i="57"/>
  <c r="G493" i="57"/>
  <c r="G492" i="57"/>
  <c r="G490" i="57"/>
  <c r="G487" i="57"/>
  <c r="G486" i="57"/>
  <c r="G485" i="57"/>
  <c r="G484" i="57"/>
  <c r="G481" i="57"/>
  <c r="G480" i="57"/>
  <c r="G479" i="57"/>
  <c r="G478" i="57"/>
  <c r="G473" i="57"/>
  <c r="G472" i="57"/>
  <c r="G470" i="57"/>
  <c r="G468" i="57"/>
  <c r="G467" i="57"/>
  <c r="G465" i="57"/>
  <c r="G464" i="57"/>
  <c r="G463" i="57"/>
  <c r="G461" i="57"/>
  <c r="G460" i="57"/>
  <c r="G458" i="57"/>
  <c r="G455" i="57"/>
  <c r="G450" i="57"/>
  <c r="G447" i="57"/>
  <c r="G440" i="57"/>
  <c r="G437" i="57"/>
  <c r="G435" i="57"/>
  <c r="G434" i="57"/>
  <c r="G431" i="57"/>
  <c r="G427" i="57"/>
  <c r="G425" i="57"/>
  <c r="G419" i="57"/>
  <c r="G415" i="57"/>
  <c r="G413" i="57"/>
  <c r="G410" i="57"/>
  <c r="G409" i="57"/>
  <c r="G407" i="57"/>
  <c r="G406" i="57"/>
  <c r="G405" i="57"/>
  <c r="G404" i="57"/>
  <c r="G394" i="57"/>
  <c r="G392" i="57"/>
  <c r="G390" i="57"/>
  <c r="G386" i="57"/>
  <c r="G384" i="57"/>
  <c r="G383" i="57"/>
  <c r="G382" i="57"/>
  <c r="G380" i="57"/>
  <c r="G377" i="57"/>
  <c r="G375" i="57"/>
  <c r="G368" i="57"/>
  <c r="G361" i="57"/>
  <c r="G357" i="57"/>
  <c r="G356" i="57"/>
  <c r="G353" i="57"/>
  <c r="G349" i="57"/>
  <c r="G346" i="57"/>
  <c r="G345" i="57"/>
  <c r="G344" i="57"/>
  <c r="G343" i="57"/>
  <c r="G342" i="57"/>
  <c r="G341" i="57"/>
  <c r="G340" i="57"/>
  <c r="G338" i="57"/>
  <c r="G335" i="57"/>
  <c r="G333" i="57"/>
  <c r="G327" i="57"/>
  <c r="G326" i="57"/>
  <c r="G325" i="57"/>
  <c r="G322" i="57"/>
  <c r="G320" i="57"/>
  <c r="G319" i="57"/>
  <c r="G318" i="57"/>
  <c r="G315" i="57"/>
  <c r="G314" i="57"/>
  <c r="G313" i="57"/>
  <c r="G312" i="57"/>
  <c r="G311" i="57"/>
  <c r="G309" i="57"/>
  <c r="G308" i="57"/>
  <c r="G306" i="57"/>
  <c r="G304" i="57"/>
  <c r="G302" i="57"/>
  <c r="G298" i="57"/>
  <c r="G296" i="57"/>
  <c r="G294" i="57"/>
  <c r="G292" i="57"/>
  <c r="G288" i="57"/>
  <c r="G286" i="57"/>
  <c r="G283" i="57"/>
  <c r="G276" i="57"/>
  <c r="G274" i="57"/>
  <c r="G271" i="57"/>
  <c r="G270" i="57"/>
  <c r="G269" i="57"/>
  <c r="G268" i="57"/>
  <c r="G267" i="57"/>
  <c r="G263" i="57"/>
  <c r="G260" i="57"/>
  <c r="G259" i="57"/>
  <c r="G258" i="57"/>
  <c r="G257" i="57"/>
  <c r="G256" i="57"/>
  <c r="G251" i="57"/>
  <c r="G250" i="57"/>
  <c r="G248" i="57"/>
  <c r="G244" i="57"/>
  <c r="G243" i="57"/>
  <c r="G242" i="57"/>
  <c r="G241" i="57"/>
  <c r="G234" i="57"/>
  <c r="G230" i="57"/>
  <c r="G229" i="57"/>
  <c r="G228" i="57"/>
  <c r="G227" i="57"/>
  <c r="G223" i="57"/>
  <c r="G222" i="57"/>
  <c r="G221" i="57"/>
  <c r="G217" i="57"/>
  <c r="G215" i="57"/>
  <c r="G214" i="57"/>
  <c r="G213" i="57"/>
  <c r="G212" i="57"/>
  <c r="G206" i="57"/>
  <c r="G203" i="57"/>
  <c r="G202" i="57"/>
  <c r="G199" i="57"/>
  <c r="G196" i="57"/>
  <c r="G195" i="57"/>
  <c r="G194" i="57"/>
  <c r="G192" i="57"/>
  <c r="G183" i="57"/>
  <c r="G182" i="57"/>
  <c r="G179" i="57"/>
  <c r="G178" i="57"/>
  <c r="G176" i="57"/>
  <c r="G174" i="57"/>
  <c r="G172" i="57"/>
  <c r="G171" i="57"/>
  <c r="G167" i="57"/>
  <c r="G166" i="57"/>
  <c r="G165" i="57"/>
  <c r="G164" i="57"/>
  <c r="G163" i="57"/>
  <c r="G162" i="57"/>
  <c r="G161" i="57"/>
  <c r="G159" i="57"/>
  <c r="G158" i="57"/>
  <c r="G155" i="57"/>
  <c r="G154" i="57"/>
  <c r="G152" i="57"/>
  <c r="G151" i="57"/>
  <c r="G150" i="57"/>
  <c r="G148" i="57"/>
  <c r="G146" i="57"/>
  <c r="G142" i="57"/>
  <c r="G139" i="57"/>
  <c r="G138" i="57"/>
  <c r="G135" i="57"/>
  <c r="G132" i="57"/>
  <c r="G130" i="57"/>
  <c r="G126" i="57"/>
  <c r="G125" i="57"/>
  <c r="G124" i="57"/>
  <c r="G123" i="57"/>
  <c r="G122" i="57"/>
  <c r="G121" i="57"/>
  <c r="G120" i="57"/>
  <c r="G118" i="57"/>
  <c r="G115" i="57"/>
  <c r="G114" i="57"/>
  <c r="G113" i="57"/>
  <c r="G111" i="57"/>
  <c r="G109" i="57"/>
  <c r="G99" i="57"/>
  <c r="G98" i="57"/>
  <c r="G97" i="57"/>
  <c r="G96" i="57"/>
  <c r="G92" i="57"/>
  <c r="G89" i="57"/>
  <c r="G86" i="57"/>
  <c r="G83" i="57"/>
  <c r="G82" i="57"/>
  <c r="G79" i="57"/>
  <c r="G77" i="57"/>
  <c r="G76" i="57"/>
  <c r="G75" i="57"/>
  <c r="G71" i="57"/>
  <c r="G70" i="57"/>
  <c r="G69" i="57"/>
  <c r="G68" i="57"/>
  <c r="G67" i="57"/>
  <c r="G66" i="57"/>
  <c r="G65" i="57"/>
  <c r="G61" i="57"/>
  <c r="G53" i="57"/>
  <c r="G49" i="57"/>
  <c r="G47" i="57"/>
  <c r="G46" i="57"/>
  <c r="G45" i="57"/>
  <c r="G44" i="57"/>
  <c r="G42" i="57"/>
  <c r="G41" i="57"/>
  <c r="G39" i="57"/>
  <c r="G38" i="57"/>
  <c r="G34" i="57"/>
  <c r="G31" i="57"/>
  <c r="G29" i="57"/>
  <c r="G27" i="57"/>
  <c r="G26" i="57"/>
  <c r="G25" i="57"/>
  <c r="G24" i="57"/>
  <c r="G23" i="57"/>
  <c r="G22" i="57"/>
  <c r="G21" i="57"/>
  <c r="G10" i="57"/>
  <c r="G8" i="57"/>
  <c r="G7" i="57"/>
  <c r="G3" i="57"/>
  <c r="G953" i="57"/>
  <c r="G952" i="57"/>
  <c r="G948" i="57"/>
  <c r="G939" i="57"/>
  <c r="G913" i="57"/>
  <c r="G909" i="57"/>
  <c r="G898" i="57"/>
  <c r="G859" i="57"/>
  <c r="G840" i="57"/>
  <c r="G792" i="57"/>
  <c r="G758" i="57"/>
  <c r="G753" i="57"/>
  <c r="G741" i="57"/>
  <c r="G681" i="57"/>
  <c r="G613" i="57"/>
  <c r="G567" i="57"/>
  <c r="G566" i="57"/>
  <c r="G546" i="57"/>
  <c r="G542" i="57"/>
  <c r="G541" i="57"/>
  <c r="G488" i="57"/>
  <c r="G399" i="57"/>
  <c r="G395" i="57"/>
  <c r="G289" i="57"/>
  <c r="G112" i="57"/>
  <c r="G110" i="57"/>
  <c r="G108" i="57"/>
  <c r="G107" i="57"/>
  <c r="G94" i="57"/>
  <c r="G40" i="57"/>
  <c r="G927" i="57"/>
  <c r="G445" i="57"/>
  <c r="G418" i="57"/>
  <c r="G958" i="57"/>
  <c r="G957" i="57"/>
  <c r="G955" i="57"/>
  <c r="G954" i="57"/>
  <c r="G943" i="57"/>
  <c r="G942" i="57"/>
  <c r="G941" i="57"/>
  <c r="G938" i="57"/>
  <c r="G937" i="57"/>
  <c r="G936" i="57"/>
  <c r="G930" i="57"/>
  <c r="G929" i="57"/>
  <c r="G925" i="57"/>
  <c r="G924" i="57"/>
  <c r="G919" i="57"/>
  <c r="G918" i="57"/>
  <c r="G917" i="57"/>
  <c r="G914" i="57"/>
  <c r="G912" i="57"/>
  <c r="G911" i="57"/>
  <c r="G910" i="57"/>
  <c r="G908" i="57"/>
  <c r="G906" i="57"/>
  <c r="G903" i="57"/>
  <c r="G902" i="57"/>
  <c r="G897" i="57"/>
  <c r="G895" i="57"/>
  <c r="G894" i="57"/>
  <c r="G893" i="57"/>
  <c r="G892" i="57"/>
  <c r="G886" i="57"/>
  <c r="G883" i="57"/>
  <c r="G882" i="57"/>
  <c r="G881" i="57"/>
  <c r="G875" i="57"/>
  <c r="G873" i="57"/>
  <c r="G869" i="57"/>
  <c r="G867" i="57"/>
  <c r="G865" i="57"/>
  <c r="G861" i="57"/>
  <c r="G860" i="57"/>
  <c r="G858" i="57"/>
  <c r="G855" i="57"/>
  <c r="G854" i="57"/>
  <c r="G843" i="57"/>
  <c r="G837" i="57"/>
  <c r="G836" i="57"/>
  <c r="G835" i="57"/>
  <c r="G833" i="57"/>
  <c r="G830" i="57"/>
  <c r="G828" i="57"/>
  <c r="G827" i="57"/>
  <c r="G826" i="57"/>
  <c r="G823" i="57"/>
  <c r="G821" i="57"/>
  <c r="G818" i="57"/>
  <c r="G813" i="57"/>
  <c r="G811" i="57"/>
  <c r="G807" i="57"/>
  <c r="G804" i="57"/>
  <c r="G803" i="57"/>
  <c r="G802" i="57"/>
  <c r="G801" i="57"/>
  <c r="G800" i="57"/>
  <c r="G799" i="57"/>
  <c r="G797" i="57"/>
  <c r="G794" i="57"/>
  <c r="G793" i="57"/>
  <c r="G790" i="57"/>
  <c r="G789" i="57"/>
  <c r="G786" i="57"/>
  <c r="G785" i="57"/>
  <c r="G784" i="57"/>
  <c r="G779" i="57"/>
  <c r="G776" i="57"/>
  <c r="G775" i="57"/>
  <c r="G774" i="57"/>
  <c r="G773" i="57"/>
  <c r="G770" i="57"/>
  <c r="G769" i="57"/>
  <c r="G766" i="57"/>
  <c r="G762" i="57"/>
  <c r="G761" i="57"/>
  <c r="G749" i="57"/>
  <c r="G745" i="57"/>
  <c r="G744" i="57"/>
  <c r="G740" i="57"/>
  <c r="G737" i="57"/>
  <c r="G736" i="57"/>
  <c r="G735" i="57"/>
  <c r="G734" i="57"/>
  <c r="G728" i="57"/>
  <c r="G727" i="57"/>
  <c r="G723" i="57"/>
  <c r="G722" i="57"/>
  <c r="G719" i="57"/>
  <c r="G717" i="57"/>
  <c r="G710" i="57"/>
  <c r="G709" i="57"/>
  <c r="G707" i="57"/>
  <c r="G698" i="57"/>
  <c r="G697" i="57"/>
  <c r="G695" i="57"/>
  <c r="G694" i="57"/>
  <c r="G693" i="57"/>
  <c r="G692" i="57"/>
  <c r="G691" i="57"/>
  <c r="G689" i="57"/>
  <c r="G688" i="57"/>
  <c r="G686" i="57"/>
  <c r="G685" i="57"/>
  <c r="G680" i="57"/>
  <c r="G679" i="57"/>
  <c r="G678" i="57"/>
  <c r="G671" i="57"/>
  <c r="G665" i="57"/>
  <c r="G664" i="57"/>
  <c r="G660" i="57"/>
  <c r="G659" i="57"/>
  <c r="G657" i="57"/>
  <c r="G656" i="57"/>
  <c r="G654" i="57"/>
  <c r="G655" i="57"/>
  <c r="G653" i="57"/>
  <c r="G650" i="57"/>
  <c r="G647" i="57"/>
  <c r="G646" i="57"/>
  <c r="G644" i="57"/>
  <c r="G643" i="57"/>
  <c r="G642" i="57"/>
  <c r="G639" i="57"/>
  <c r="G638" i="57"/>
  <c r="G637" i="57"/>
  <c r="G636" i="57"/>
  <c r="G635" i="57"/>
  <c r="G634" i="57"/>
  <c r="G633" i="57"/>
  <c r="G631" i="57"/>
  <c r="G629" i="57"/>
  <c r="G627" i="57"/>
  <c r="G624" i="57"/>
  <c r="G623" i="57"/>
  <c r="G622" i="57"/>
  <c r="G619" i="57"/>
  <c r="G618" i="57"/>
  <c r="G614" i="57"/>
  <c r="G609" i="57"/>
  <c r="G602" i="57"/>
  <c r="G601" i="57"/>
  <c r="G600" i="57"/>
  <c r="G599" i="57"/>
  <c r="G596" i="57"/>
  <c r="G594" i="57"/>
  <c r="G591" i="57"/>
  <c r="G588" i="57"/>
  <c r="G587" i="57"/>
  <c r="G584" i="57"/>
  <c r="G581" i="57"/>
  <c r="G579" i="57"/>
  <c r="G575" i="57"/>
  <c r="G573" i="57"/>
  <c r="G574" i="57"/>
  <c r="G572" i="57"/>
  <c r="G571" i="57"/>
  <c r="G569" i="57"/>
  <c r="G565" i="57"/>
  <c r="G563" i="57"/>
  <c r="G557" i="57"/>
  <c r="G553" i="57"/>
  <c r="G549" i="57"/>
  <c r="G547" i="57"/>
  <c r="G538" i="57"/>
  <c r="G537" i="57"/>
  <c r="G533" i="57"/>
  <c r="G531" i="57"/>
  <c r="G529" i="57"/>
  <c r="G527" i="57"/>
  <c r="G526" i="57"/>
  <c r="G523" i="57"/>
  <c r="G522" i="57"/>
  <c r="G520" i="57"/>
  <c r="G519" i="57"/>
  <c r="G518" i="57"/>
  <c r="G517" i="57"/>
  <c r="G516" i="57"/>
  <c r="G515" i="57"/>
  <c r="G514" i="57"/>
  <c r="G513" i="57"/>
  <c r="G510" i="57"/>
  <c r="G509" i="57"/>
  <c r="G506" i="57"/>
  <c r="G505" i="57"/>
  <c r="G503" i="57"/>
  <c r="G501" i="57"/>
  <c r="G499" i="57"/>
  <c r="G498" i="57"/>
  <c r="G496" i="57"/>
  <c r="G491" i="57"/>
  <c r="G489" i="57"/>
  <c r="G483" i="57"/>
  <c r="G477" i="57"/>
  <c r="G476" i="57"/>
  <c r="G475" i="57"/>
  <c r="G474" i="57"/>
  <c r="G471" i="57"/>
  <c r="G469" i="57"/>
  <c r="G466" i="57"/>
  <c r="G462" i="57"/>
  <c r="G459" i="57"/>
  <c r="G457" i="57"/>
  <c r="G456" i="57"/>
  <c r="G454" i="57"/>
  <c r="G453" i="57"/>
  <c r="G452" i="57"/>
  <c r="G449" i="57"/>
  <c r="G448" i="57"/>
  <c r="G446" i="57"/>
  <c r="G444" i="57"/>
  <c r="G443" i="57"/>
  <c r="G442" i="57"/>
  <c r="G441" i="57"/>
  <c r="G439" i="57"/>
  <c r="G436" i="57"/>
  <c r="G433" i="57"/>
  <c r="G432" i="57"/>
  <c r="G430" i="57"/>
  <c r="G429" i="57"/>
  <c r="G428" i="57"/>
  <c r="G426" i="57"/>
  <c r="G424" i="57"/>
  <c r="G422" i="57"/>
  <c r="G421" i="57"/>
  <c r="G420" i="57"/>
  <c r="G416" i="57"/>
  <c r="G414" i="57"/>
  <c r="G412" i="57"/>
  <c r="G411" i="57"/>
  <c r="G408" i="57"/>
  <c r="G403" i="57"/>
  <c r="G402" i="57"/>
  <c r="G401" i="57"/>
  <c r="G400" i="57"/>
  <c r="G398" i="57"/>
  <c r="G397" i="57"/>
  <c r="G396" i="57"/>
  <c r="G393" i="57"/>
  <c r="G391" i="57"/>
  <c r="G389" i="57"/>
  <c r="G388" i="57"/>
  <c r="G387" i="57"/>
  <c r="G385" i="57"/>
  <c r="G381" i="57"/>
  <c r="G379" i="57"/>
  <c r="G378" i="57"/>
  <c r="G376" i="57"/>
  <c r="G372" i="57"/>
  <c r="G371" i="57"/>
  <c r="G370" i="57"/>
  <c r="G369" i="57"/>
  <c r="G367" i="57"/>
  <c r="G366" i="57"/>
  <c r="G365" i="57"/>
  <c r="G363" i="57"/>
  <c r="G362" i="57"/>
  <c r="G360" i="57"/>
  <c r="G359" i="57"/>
  <c r="G358" i="57"/>
  <c r="G355" i="57"/>
  <c r="G354" i="57"/>
  <c r="G352" i="57"/>
  <c r="G350" i="57"/>
  <c r="G348" i="57"/>
  <c r="G347" i="57"/>
  <c r="G339" i="57"/>
  <c r="G337" i="57"/>
  <c r="G336" i="57"/>
  <c r="G334" i="57"/>
  <c r="G332" i="57"/>
  <c r="G331" i="57"/>
  <c r="G330" i="57"/>
  <c r="G329" i="57"/>
  <c r="G328" i="57"/>
  <c r="G321" i="57"/>
  <c r="G317" i="57"/>
  <c r="G316" i="57"/>
  <c r="G310" i="57"/>
  <c r="G307" i="57"/>
  <c r="G305" i="57"/>
  <c r="G303" i="57"/>
  <c r="G301" i="57"/>
  <c r="G299" i="57"/>
  <c r="G300" i="57"/>
  <c r="G297" i="57"/>
  <c r="G295" i="57"/>
  <c r="G293" i="57"/>
  <c r="G291" i="57"/>
  <c r="G290" i="57"/>
  <c r="G287" i="57"/>
  <c r="G285" i="57"/>
  <c r="G284" i="57"/>
  <c r="G282" i="57"/>
  <c r="G281" i="57"/>
  <c r="G280" i="57"/>
  <c r="G279" i="57"/>
  <c r="G278" i="57"/>
  <c r="G277" i="57"/>
  <c r="G275" i="57"/>
  <c r="G273" i="57"/>
  <c r="G272" i="57"/>
  <c r="G266" i="57"/>
  <c r="G265" i="57"/>
  <c r="G264" i="57"/>
  <c r="G262" i="57"/>
  <c r="G261" i="57"/>
  <c r="G255" i="57"/>
  <c r="G254" i="57"/>
  <c r="G253" i="57"/>
  <c r="G252" i="57"/>
  <c r="G249" i="57"/>
  <c r="G247" i="57"/>
  <c r="G246" i="57"/>
  <c r="G245" i="57"/>
  <c r="G236" i="57"/>
  <c r="G235" i="57"/>
  <c r="G233" i="57"/>
  <c r="G231" i="57"/>
  <c r="G226" i="57"/>
  <c r="G225" i="57"/>
  <c r="G224" i="57"/>
  <c r="G220" i="57"/>
  <c r="G219" i="57"/>
  <c r="G218" i="57"/>
  <c r="G216" i="57"/>
  <c r="G211" i="57"/>
  <c r="G210" i="57"/>
  <c r="G209" i="57"/>
  <c r="G208" i="57"/>
  <c r="G207" i="57"/>
  <c r="G205" i="57"/>
  <c r="G200" i="57"/>
  <c r="G198" i="57"/>
  <c r="G197" i="57"/>
  <c r="G193" i="57"/>
  <c r="G191" i="57"/>
  <c r="G190" i="57"/>
  <c r="G189" i="57"/>
  <c r="G188" i="57"/>
  <c r="G187" i="57"/>
  <c r="G186" i="57"/>
  <c r="G185" i="57"/>
  <c r="G184" i="57"/>
  <c r="G180" i="57"/>
  <c r="G177" i="57"/>
  <c r="G175" i="57"/>
  <c r="G173" i="57"/>
  <c r="G170" i="57"/>
  <c r="G169" i="57"/>
  <c r="G168" i="57"/>
  <c r="G160" i="57"/>
  <c r="G157" i="57"/>
  <c r="G156" i="57"/>
  <c r="G153" i="57"/>
  <c r="G149" i="57"/>
  <c r="G147" i="57"/>
  <c r="G145" i="57"/>
  <c r="G144" i="57"/>
  <c r="G143" i="57"/>
  <c r="G140" i="57"/>
  <c r="G137" i="57"/>
  <c r="G136" i="57"/>
  <c r="G134" i="57"/>
  <c r="G133" i="57"/>
  <c r="G131" i="57"/>
  <c r="G129" i="57"/>
  <c r="G128" i="57"/>
  <c r="G127" i="57"/>
  <c r="G119" i="57"/>
  <c r="G117" i="57"/>
  <c r="G116" i="57"/>
  <c r="G106" i="57"/>
  <c r="G105" i="57"/>
  <c r="G104" i="57"/>
  <c r="G103" i="57"/>
  <c r="G102" i="57"/>
  <c r="G101" i="57"/>
  <c r="G100" i="57"/>
  <c r="G95" i="57"/>
  <c r="G93" i="57"/>
  <c r="G91" i="57"/>
  <c r="G90" i="57"/>
  <c r="G88" i="57"/>
  <c r="G84" i="57"/>
  <c r="G81" i="57"/>
  <c r="G80" i="57"/>
  <c r="G78" i="57"/>
  <c r="G74" i="57"/>
  <c r="G73" i="57"/>
  <c r="G72" i="57"/>
  <c r="G64" i="57"/>
  <c r="G63" i="57"/>
  <c r="G62" i="57"/>
  <c r="G60" i="57"/>
  <c r="G59" i="57"/>
  <c r="G58" i="57"/>
  <c r="G57" i="57"/>
  <c r="G56" i="57"/>
  <c r="G55" i="57"/>
  <c r="G54" i="57"/>
  <c r="G52" i="57"/>
  <c r="G51" i="57"/>
  <c r="G50" i="57"/>
  <c r="G48" i="57"/>
  <c r="G43" i="57"/>
  <c r="G37" i="57"/>
  <c r="G36" i="57"/>
  <c r="G35" i="57"/>
  <c r="G33" i="57"/>
  <c r="G32" i="57"/>
  <c r="G28" i="57"/>
  <c r="G20" i="57"/>
  <c r="G19" i="57"/>
  <c r="G18" i="57"/>
  <c r="G17" i="57"/>
  <c r="G16" i="57"/>
  <c r="G14" i="57"/>
  <c r="G13" i="57"/>
  <c r="G12" i="57"/>
  <c r="G11" i="57"/>
  <c r="G9" i="57"/>
  <c r="G6" i="57"/>
  <c r="G5" i="57"/>
  <c r="G4" i="57"/>
  <c r="G2" i="57"/>
  <c r="G950" i="57"/>
  <c r="G920" i="57"/>
  <c r="G884" i="57"/>
  <c r="G787" i="57"/>
  <c r="G721" i="57"/>
  <c r="G696" i="57"/>
  <c r="G661" i="57"/>
  <c r="G615" i="57"/>
  <c r="G555" i="57"/>
  <c r="G552" i="57"/>
  <c r="G502" i="57"/>
  <c r="G495" i="57"/>
  <c r="G417" i="57"/>
  <c r="G374" i="57"/>
  <c r="G373" i="57"/>
  <c r="G351" i="57"/>
  <c r="G201" i="57"/>
  <c r="G181" i="57"/>
  <c r="G87" i="57"/>
  <c r="G85" i="57"/>
  <c r="D3" i="50" l="1"/>
  <c r="D5" i="50"/>
  <c r="D6" i="50"/>
  <c r="D7" i="50"/>
  <c r="D8" i="50"/>
  <c r="D9" i="50"/>
  <c r="D10" i="50"/>
  <c r="D11" i="50"/>
  <c r="D12" i="50"/>
  <c r="D13" i="50"/>
  <c r="D15" i="50"/>
  <c r="D16" i="50"/>
  <c r="D17" i="50"/>
  <c r="D18" i="50"/>
  <c r="D19" i="50"/>
  <c r="D20" i="50"/>
  <c r="D21" i="50"/>
  <c r="D22" i="50"/>
  <c r="D23" i="50"/>
  <c r="D24" i="50"/>
  <c r="D25" i="50"/>
  <c r="D28" i="50"/>
  <c r="D30" i="50"/>
  <c r="D31" i="50"/>
  <c r="D32" i="50"/>
  <c r="D33" i="50"/>
  <c r="D34" i="50"/>
  <c r="D35" i="50"/>
  <c r="D36" i="50"/>
  <c r="D37" i="50"/>
  <c r="D38" i="50"/>
  <c r="D39" i="50"/>
  <c r="D40" i="50"/>
  <c r="D41" i="50"/>
  <c r="D42" i="50"/>
  <c r="D43" i="50"/>
  <c r="D44" i="50"/>
  <c r="D45" i="50"/>
  <c r="D46" i="50"/>
  <c r="D47" i="50"/>
  <c r="D48" i="50"/>
  <c r="D52" i="50"/>
  <c r="D53" i="50"/>
  <c r="D54" i="50"/>
  <c r="D55" i="50"/>
  <c r="D56" i="50"/>
  <c r="D57" i="50"/>
  <c r="D58" i="50"/>
  <c r="D59" i="50"/>
  <c r="D60" i="50"/>
  <c r="D61" i="50"/>
  <c r="D62" i="50"/>
  <c r="D63" i="50"/>
  <c r="D64" i="50"/>
  <c r="D65" i="50"/>
  <c r="D66" i="50"/>
  <c r="D67" i="50"/>
  <c r="D68" i="50"/>
  <c r="D69" i="50"/>
  <c r="D70" i="50"/>
  <c r="D71" i="50"/>
  <c r="D72" i="50"/>
  <c r="D73" i="50"/>
  <c r="D74" i="50"/>
  <c r="D75" i="50"/>
  <c r="D76" i="50"/>
  <c r="D77" i="50"/>
  <c r="D78" i="50"/>
  <c r="D79" i="50"/>
  <c r="D80" i="50"/>
  <c r="D81" i="50"/>
  <c r="D82" i="50"/>
  <c r="D83" i="50"/>
  <c r="D84" i="50"/>
  <c r="D85" i="50"/>
  <c r="D86" i="50"/>
</calcChain>
</file>

<file path=xl/sharedStrings.xml><?xml version="1.0" encoding="utf-8"?>
<sst xmlns="http://schemas.openxmlformats.org/spreadsheetml/2006/main" count="12186" uniqueCount="3532">
  <si>
    <t xml:space="preserve"> </t>
  </si>
  <si>
    <t>How to make climate-neutral aviation fly</t>
  </si>
  <si>
    <t>Towards sustainable regional aviation: Environmental potential of hybrid-electric aircraft and alternative fuels</t>
  </si>
  <si>
    <t>Climate change impacts of e-fuels for aviation in Europe under present-day conditions and future policy scenarios</t>
  </si>
  <si>
    <t>Prospective life cycle assessment of European cement production</t>
  </si>
  <si>
    <t>Decarbonizing the cement industry: Findings from coupling prospective life cycle assessment of clinker with integrated assessment model scenarios</t>
  </si>
  <si>
    <t>Effects of the energy transition on environmental impacts of cobalt supply: A prospective life cycle assessment study on future supply of cobalt</t>
  </si>
  <si>
    <t>Future environmental impacts of global hydrogen production</t>
  </si>
  <si>
    <t>Future environmental impacts of metals: A systematic review of impact trends, modelling approaches, and challenges</t>
  </si>
  <si>
    <t>Environmental Implications of Future Demand Scenarios for Metals: Methodology and Application to the Case of Seven Major Metals</t>
  </si>
  <si>
    <t>Environmental Assessment of Emerging Technologies: Recommendations for Prospective LCA</t>
  </si>
  <si>
    <t>The Future of Ex-Ante LCA? Lessons Learned and Practical Recommendations</t>
  </si>
  <si>
    <t>From Laboratory to Industrial Scale: A Prospective LCA for Electrochemical Reduction of CO2 to Formic Acid</t>
  </si>
  <si>
    <t>Does ex ante application enhance the usefulness of LCA? A case study on an emerging technology for metal recovery from e-waste</t>
  </si>
  <si>
    <t>Enriching IAM scenarios for effective pLCA integration: A clinker case study</t>
  </si>
  <si>
    <t>Coupling material and energy flow analysis with life cycle assessment to support circular strategies at the urban level</t>
  </si>
  <si>
    <t>Toward sustainable reprocessing and valorization of sulfidic copper tailings: Scenarios and prospective LCA</t>
  </si>
  <si>
    <t>Ten questions concerning prospective LCA for decision support for the built environment</t>
  </si>
  <si>
    <t>Preconditions for achieving carbon neutrality in cement production through CCUS</t>
  </si>
  <si>
    <t>Prospective Life Cycle Assessment of Two Supercapacitor Architectures</t>
  </si>
  <si>
    <t>Life cycle assessment of prospective scenarios maximizing renewable resources in the Brazilian electricity matrix</t>
  </si>
  <si>
    <t>Linking Life Cycle and Integrated Assessment Modeling to Evaluate Technologies in an Evolving System Context: A Power-to-Hydrogen Case Study for the United States</t>
  </si>
  <si>
    <t>Environmental optimization model for the European batteries industry based on prospective life cycle assessment and material flow analysis</t>
  </si>
  <si>
    <t>Environmental sustainability assessment of large-scale hydrogen production using prospective life cycle analysis</t>
  </si>
  <si>
    <t>Prospective Life Cycle Assessment of Lithium-Sulfur Batteries for Stationary Energy Storage</t>
  </si>
  <si>
    <t>Lessons from the use of a long-term energy model for consequential life cycle assessment: The BTL case</t>
  </si>
  <si>
    <t>Assessing the European Electric-Mobility Transition: Emissions from Electric Vehicle Manufacturing and Use in Relation to the EU Greenhouse Gas Emission Targets</t>
  </si>
  <si>
    <t>A bottom-up dynamic building stock model for residential energy transition: A case study for the Netherlands</t>
  </si>
  <si>
    <t>When the Background Matters: Using Scenarios from Integrated Assessment Models in Prospective Life Cycle Assessment</t>
  </si>
  <si>
    <t>PRospective EnvironMental Impact asSEment (premise): A streamlined approach to producing databases for prospective life cycle assessment using integrated assessment models</t>
  </si>
  <si>
    <t>Deriving life cycle assessment coefficients for application in integrated assessment modelling</t>
  </si>
  <si>
    <t>Life cycle assessment integration into energy system models: An application for Power-to-Methane in the EU</t>
  </si>
  <si>
    <t>Integrated life-cycle assessment of electricity-supply scenarios confirms global environmental benefit of low-carbon technologies</t>
  </si>
  <si>
    <t>Environmental co-benefits and adverse side-effects of alternative power sector decarbonization strategies</t>
  </si>
  <si>
    <t>Understanding future emissions from low-carbon power systems by integration of life-cycle assessment and integrated energy modelling</t>
  </si>
  <si>
    <t>Prospective Life Cycle Assessment Based on System Dynamics Approach: A Case Study on the Large-Scale Centrifugal Compressor</t>
  </si>
  <si>
    <t>Life-Cycle Assessment of Brazilian Transport Biofuel and Electrification Pathways</t>
  </si>
  <si>
    <t>Life cycle assessment of upgrading options of a preliminary wastewater treatment plant including food waste addition</t>
  </si>
  <si>
    <t>Enhanced prioritisation of prospective scenarios for power generation in Spain: How and which one?</t>
  </si>
  <si>
    <t>From laboratory to industrial scale: a scale-up framework for chemical processes in life cycle assessment studies</t>
  </si>
  <si>
    <t>Publisher</t>
  </si>
  <si>
    <t>MDPI</t>
  </si>
  <si>
    <t>Futures</t>
  </si>
  <si>
    <t>Energy</t>
  </si>
  <si>
    <t>ASME</t>
  </si>
  <si>
    <t>Employing a Socio-Technical System Approach in Prospective Life Cycle Assessment: A Case of Large-Scale Swedish Sustainable Aviation Fuels</t>
  </si>
  <si>
    <t>LCA and negative emission potential of retrofitted cement plants under oxyfuel conditions at high biogenic fuel shares</t>
  </si>
  <si>
    <t>Global greenhouse gas emissions from residential and commercial building materials and mitigation strategies to 2060</t>
  </si>
  <si>
    <t>Uncertain Environmental Footprint of Current and Future Battery Electric Vehicles</t>
  </si>
  <si>
    <t>Future greenhouse gas emissions of automotive lithium-ion battery cell production</t>
  </si>
  <si>
    <t>Net emission reductions from electric cars and heat pumps in 59 world regions over time</t>
  </si>
  <si>
    <t>Energy System Pathways with Low Environmental Impacts and Limited Costs: Minimizing Climate Change Impacts Produces Environmental Cobenefits and Challenges in Toxicity and Metal Depletion Categories</t>
  </si>
  <si>
    <t>Life cycle environmental and cost comparison of current and future passenger cars under different energy scenarios</t>
  </si>
  <si>
    <t>Fuel</t>
  </si>
  <si>
    <t>Sustainability</t>
  </si>
  <si>
    <t>Material requirements of global electricity sector pathways to 2050 and associated greenhouse gas emissions</t>
  </si>
  <si>
    <t>Energy Policy</t>
  </si>
  <si>
    <t>Quo vadis MFA? Integrated material flow analysis to support material efficiency</t>
  </si>
  <si>
    <t>Dynamic life cycle assessment: framework and application to an institutional building</t>
  </si>
  <si>
    <t>Industrial ecology in integrated assessment models</t>
  </si>
  <si>
    <t>https://doi.org/10.1111/jiec.13557</t>
  </si>
  <si>
    <t>Environmental impacts of high penetration renewable energy scenarios for Europe</t>
  </si>
  <si>
    <t>Applying an ex-ante life cycle perspective to metal recovery from e-waste using bioleaching</t>
  </si>
  <si>
    <t>Past, present and future environmental footprint of the Danish wind turbine fleet with LCA_WIND_DK, an online interactive platform</t>
  </si>
  <si>
    <t>Integrating emerging technologies deployed at scale within prospective life cycle assessments</t>
  </si>
  <si>
    <t>A prospective life cycle assessment of global ammonia decarbonisation scenarios</t>
  </si>
  <si>
    <t>Heliyon</t>
  </si>
  <si>
    <t>Integrated Multidimensional Sustainability Assessment of Energy System Transformation Pathways</t>
  </si>
  <si>
    <t>Life-cycle impacts from different decarbonization pathways for the European car fleet</t>
  </si>
  <si>
    <t>Climate change mitigation of drop-in biofuels for deep-sea shipping under a prospective life-cycle assessment</t>
  </si>
  <si>
    <t>PULPO: A framework for efficient integration of life cycle inventory models into life cycle product optimization</t>
  </si>
  <si>
    <t>Assessing the prospective environmental impacts and circularity potentials of building stocks: An open-source model from Austria (PULSE-AT)</t>
  </si>
  <si>
    <t>https://doi.org/10.1111/jiec.13558</t>
  </si>
  <si>
    <t>Drop-in and hydrogen-based biofuels for maritime transport: Country-based assessment of climate change impacts in Europe up to 2050</t>
  </si>
  <si>
    <t>Determining the consequential life cycle greenhouse gas emissions of increased rooftop photovoltaic deployment</t>
  </si>
  <si>
    <t>Prospective life cycle assessment of the Spanish electricity production</t>
  </si>
  <si>
    <t>Environmental Assessment of Possible Future Waste Management Scenarios</t>
  </si>
  <si>
    <t>Coupling Input-Output Tables with Macro-Life Cycle Assessment to Assess Worldwide Impacts of Biofuels Transport Policies</t>
  </si>
  <si>
    <t>An environmental evaluation of food waste downstream management options: a hybrid LCA approach</t>
  </si>
  <si>
    <t>Maximizing affluence within the planetary boundaries</t>
  </si>
  <si>
    <t>Energy simulation and LCA for macro-scale analysis of eco-innovations in the housing stock</t>
  </si>
  <si>
    <t>Life cycle modeling of energy matrix scenarios, Belgian power and partial heat mixes as case study</t>
  </si>
  <si>
    <t>A life cycle assessment (LCA)-based approach to guiding an industry sector towards sustainability: the case of the Swedish apparel sector</t>
  </si>
  <si>
    <t>Linking energy scenarios and waste storylines for prospective environmental assessment of waste management systems</t>
  </si>
  <si>
    <t>Fleet view of electrified transportation reveals smaller potential to reduce GHG emissions</t>
  </si>
  <si>
    <t>A return on experience from the application of agent-based simulations coupled with life cycle assessment to model agricultural processes</t>
  </si>
  <si>
    <t>Environmental assessment of rebuilding and possible performance improvements effect on a national scale</t>
  </si>
  <si>
    <t>Potential for reducing GHG emissions and energy consumption from implementing the aluminum intensive vehicle fleet in China</t>
  </si>
  <si>
    <t>The UK transport carbon model: An integrated life cycle approach to explore low carbon futures</t>
  </si>
  <si>
    <t>Coupling partial-equilibrium and dynamic biogenic carbon models to assess future transport scenarios in France</t>
  </si>
  <si>
    <t>Energies</t>
  </si>
  <si>
    <t>Methods for assessing future scenarios from a sustainability perspective</t>
  </si>
  <si>
    <t>Prospective Analysis of Life-Cycle Indicators through Endogenous Integration into a National Power Generation Model</t>
  </si>
  <si>
    <t>Closing the TIMES Integrated Assessment Model (TIAM-FR) Raw Materials Gap with Life Cycle Inventories</t>
  </si>
  <si>
    <t>Environmental implications of large-scale adoption of wind power: a scenario-based life cycle assessment</t>
  </si>
  <si>
    <t>see table 1</t>
  </si>
  <si>
    <t>Applying consequential LCA to support energy policy: Land use change effects of bioenergy production</t>
  </si>
  <si>
    <t>A Stochastic Approach to Model Dynamic Systems in Life Cycle Assessment</t>
  </si>
  <si>
    <t>Whole-life greenhouse gas emission reduction and removal strategies for buildings: Impacts and diffusion potentials across EU Member States</t>
  </si>
  <si>
    <t>none</t>
  </si>
  <si>
    <t>Health benefits, ecological threats of low-carbon electricity</t>
  </si>
  <si>
    <t>Global Carbon Benefits of Material Substitution in Passenger Cars until 2050 and the Impact on the Steel and Aluminum Industries</t>
  </si>
  <si>
    <t>Tracking Construction Material over Space and Time: Prospective and Geo-referenced Modeling of Building Stocks and Construction Material Flows</t>
  </si>
  <si>
    <t>A comprehensive set of global scenarios of housing, mobility, and material efficiency for material cycles and energy systems modeling</t>
  </si>
  <si>
    <t>Exploring carbon neutrality scenarios through the life cycle assessment lens: a review of literature and methodological challenges</t>
  </si>
  <si>
    <t>Circular business models of washing machines in the Netherlands: Material and climate change implications toward 2050</t>
  </si>
  <si>
    <t>Environmental trade-offs of direct air capture technologies in climate change mitigation toward 2100</t>
  </si>
  <si>
    <t>Analysis of energy security and sustainability in future low carbon scenarios for Brazil</t>
  </si>
  <si>
    <t>Worldwide Greenhouse Gas Reduction Potentials in Transportation by 2050</t>
  </si>
  <si>
    <t>A Prospective Net Energy and Environmental Life-Cycle Assessment of the UK Electricity Grid</t>
  </si>
  <si>
    <t>Building Energy Management Systems: Global Potentials and Environmental Implications of Deployment</t>
  </si>
  <si>
    <t>Carbon footprint impacts of banning cars with internal combustion engines</t>
  </si>
  <si>
    <t>How do we decarbonize one billion vehicles by 2050? Insights from a comparative life cycle assessment of electrifying light-duty vehicle fleets in the United States, China, and the United Kingdom</t>
  </si>
  <si>
    <t>Holistic energy system modeling combining multi-objective optimization and life cycle assessment</t>
  </si>
  <si>
    <t>An Environmental Assessment Framework for Energy System Analysis (EAFESA): The method and its application to the European energy system transformation</t>
  </si>
  <si>
    <t>Integrating life cycle assessment and energy system modelling: Methodology and application to the world energy scenarios</t>
  </si>
  <si>
    <t>Potential Long-Term Global Environmental Implications of Efficient Light-Source Technologies</t>
  </si>
  <si>
    <t>Multi-criteria decision analysis of energy system transformation pathways: A case study for Switzerland</t>
  </si>
  <si>
    <t>Temporally dynamic environmental impact assessment of a building stock: Coupling MFA and LCA</t>
  </si>
  <si>
    <t>Environmental impacts of the future German energy system from integrated energy systems optimization and dynamic life cycle assessment</t>
  </si>
  <si>
    <t>Environmental Sustainability Assessment of Multi-Sectoral Energy Transformation Pathways: Methodological Approach and Case Study for Germany</t>
  </si>
  <si>
    <t>Scenario analysis of supply‐ and demand‐side solutions for circular economy and climate change mitigation in the global building sector</t>
  </si>
  <si>
    <t>Prospective consequential life cycle assessment: Identifying the future marginal suppliers using integrated assessment models</t>
  </si>
  <si>
    <t>DOI Link</t>
  </si>
  <si>
    <t/>
  </si>
  <si>
    <t>Douziech, Melanie; Besseau, Romain; Jolivet, Raphael; Shoai-Tehrani, Bianka; Bourmaud, Jean-Yves; Busato, Guillaume; Gresset-Bourgeois, Mathilde; Perez-Lopez, Paula</t>
  </si>
  <si>
    <t>Life cycle assessment of prospective trajectories: A parametric approach for tailor-made inventories and its computational implementation</t>
  </si>
  <si>
    <t>J. Ind. Ecol.</t>
  </si>
  <si>
    <t>Rugani, B.; Benetto, E.; Igos, E.; Quinti, G.; Declich, A.; Feudo, F.</t>
  </si>
  <si>
    <t>Towards prospective life cycle sustainability analysis: exploring complementarities between social and environmental life cycle assessments for the case of Luxembourg's energy system</t>
  </si>
  <si>
    <t>Mater. Tech.</t>
  </si>
  <si>
    <t>Li, Qingxiang; Li, Tingjun; Kutlu, Alara; Zanelli, Alessandra</t>
  </si>
  <si>
    <t>Life cycle cost analysis and life cycle assessment of ETFE cushion integrated transparent organic/perovskite solar cells: Comparison with PV glazing skylight</t>
  </si>
  <si>
    <t>J. Build. Eng.</t>
  </si>
  <si>
    <t>Garcia-Gusano, Diego; Martin-Gamboa, Mario; Iribarren, Diego; Dufour, Javier</t>
  </si>
  <si>
    <t>Resources-Basel</t>
  </si>
  <si>
    <t>Krishnan, Subramani; Corona, Blanca; Kramer, Gert Jan; Junginger, Martin; Koning, Vinzenz</t>
  </si>
  <si>
    <t>Prospective LCA of alkaline and PEM electrolyser systems</t>
  </si>
  <si>
    <t>Int. J. Hydrog. Energy</t>
  </si>
  <si>
    <t>Gardezi, S. S. S.; Shafiq, N.</t>
  </si>
  <si>
    <t>Operational carbon footprint prediction model for conventional tropical housing: a Malaysian prospective</t>
  </si>
  <si>
    <t>Int. J. Environ. Sci. Technol.</t>
  </si>
  <si>
    <t>Fujii, Shoma; Nakagaki, Takao; Kanematsu, Yuichiro; Kikuchi, Yasunori</t>
  </si>
  <si>
    <t>Prospective life cycle assessment for designing mobile thermal energy storage system utilizing zeolite</t>
  </si>
  <si>
    <t>J. Clean Prod.</t>
  </si>
  <si>
    <t>Rupcic, Lea; Pierrat, Eleonore; Saavedra-Rubio, Karen; Thonemann, Nils; Ogugua, Chizoba; Laurent, Alexis</t>
  </si>
  <si>
    <t>Environmental impacts in the civil aviation sector: Current state and guidance</t>
  </si>
  <si>
    <t>Transport. Res. Part D-Transport. Environ.</t>
  </si>
  <si>
    <t>Hung, Christine Roxanne; Kishimoto, Paul; Krey, Volker; Stromman, Anders Hammer; Majeau-Bettez, Guillaume</t>
  </si>
  <si>
    <t>ECOPT2: An adaptable life cycle assessment model for the environmentally constrained optimization of prospective technology transitions</t>
  </si>
  <si>
    <t>O'Born, Reyn; Brattebo, Helge; Iversen, Ole Magnus Kalas; Miliutenko, Sofiia; Potting, Jose</t>
  </si>
  <si>
    <t>Quantifying energy demand and greenhouse gas emissions of road infrastructure projects: An LCA case study of the Oslo fjord crossing in Norway</t>
  </si>
  <si>
    <t>Eur. J. Transport. Infrastruct. Res.</t>
  </si>
  <si>
    <t>Istrate, Ioan-Robert; Garcia-Gusano, Diego; Iribarren, Diego; Dufour, Javier</t>
  </si>
  <si>
    <t>Long-term opportunities for electricity production through municipal solid waste incineration when internalising external costs</t>
  </si>
  <si>
    <t>Balina, Karina; Soloha, Raimonda; Suleiko, Arturs; Dubencovs, Konstantins; Liepins, Janis; Dace, Elina</t>
  </si>
  <si>
    <t>Prospective Life Cycle Assessment of Microbial Sophorolipid Fermentation</t>
  </si>
  <si>
    <t>FERMENTATION</t>
  </si>
  <si>
    <t>Pei, Long; Schalbart, Patrick; Peuportier, Bruno</t>
  </si>
  <si>
    <t>Life cycle assessment of a residential building in China accounting for spatial and temporal variations of electricity production</t>
  </si>
  <si>
    <t>da Cruz, Tatiane Tobias; Las-Casas, Bruno; Dias, Isabella Karoline Ribeiro; Arantes, Valdeir</t>
  </si>
  <si>
    <t>Nanocelluloses as sustainable emerging technologies: State of the art and future challenges based on life cycle assessment</t>
  </si>
  <si>
    <t>Sustain. Mater. Technol.</t>
  </si>
  <si>
    <t>Pehl, Michaja; Arvesen, Anders; Humpenoeder, Florian; Popp, Alexander; Hertwich, Edgar G.; Luderer, Gunnar</t>
  </si>
  <si>
    <t>Nat. Energy</t>
  </si>
  <si>
    <t>Frapin, Marie; Roux, Charlotte; Assoumou, Edi; Peuportier, Bruno</t>
  </si>
  <si>
    <t>Modelling long-term and short-term temporal variation and uncertainty of electricity production in the life cycle assessment of buildings</t>
  </si>
  <si>
    <t>Appl. Energy</t>
  </si>
  <si>
    <t>Harzendorf, F.; Wulf, C.; Haase, M.; Baumann, M.; Ersoy, H.; Zapp, P.</t>
  </si>
  <si>
    <t>Domestic value added as an indicator for sustainability assessment: a case study on alternative drivetrains in the passenger car sector</t>
  </si>
  <si>
    <t>Clean Technol. Environ. Policy</t>
  </si>
  <si>
    <t>Roy, Venkat; Paranthaman, Mariappan Parans; Zhao, Fu</t>
  </si>
  <si>
    <t>Lithium from clay: Assessing the environmental impacts of extraction</t>
  </si>
  <si>
    <t>Sustain. Prod. Consump.</t>
  </si>
  <si>
    <t>Kamali, A. Kamal; Glogic, Edis; Keppetipola, Nilanka M.; Sonnemann, Guido; Toupance, Thierry; Cojocaru, Ludmila</t>
  </si>
  <si>
    <t>ACS Sustain. Chem. Eng.</t>
  </si>
  <si>
    <t>Penaloza, Diego; Erlandsson, Martin; Falk, Andreas</t>
  </si>
  <si>
    <t>Exploring the climate impact effects of increased use of bio-based materials in buildings</t>
  </si>
  <si>
    <t>Constr. Build. Mater.</t>
  </si>
  <si>
    <t>Su, Shu; Li, Xiaodong; Zhu, Yimin</t>
  </si>
  <si>
    <t>Dynamic assessment elements and their prospective solutions in dynamic life cycle assessment of buildings</t>
  </si>
  <si>
    <t>Build. Environ.</t>
  </si>
  <si>
    <t>Schwarz, A. E.; Lensen, S. M. C.; Herlaar, S. D. M.; van Harmelen, T.; Stegmann, P. H.</t>
  </si>
  <si>
    <t>The Circular Industrial Transformation System (CITS) model - Assessing the life cycle impacts of climate and circularity strategies</t>
  </si>
  <si>
    <t>de Kock, Lorren; Russo, Valentina; von Blottnitz, Harro</t>
  </si>
  <si>
    <t>Carbon intensive but decarbonising quickly? Retrospective and prospective Life Cycle Assessments of South African pome fruit</t>
  </si>
  <si>
    <t>Pereira, Paulo Henrique F.; Maia, Lana S.; da Silva, Andressa I. C.; Silva, Bianca A. R.; Pinhati, Fernanda R.; de Oliveira, Sueli Aparecida; Rosa, Derval S.; Mulinari, Daniella R.</t>
  </si>
  <si>
    <t>Prospective Life Cycle Assessment Prospective (LCA) of Activated Carbon Production, Derived from Banana Peel Waste for Methylene Blue Removal</t>
  </si>
  <si>
    <t>Adsorpt.-J. Int. Adsorpt. Soc.</t>
  </si>
  <si>
    <t>Zimmermann, Benedikt M.; Dura, Hanna; Baumann, Manuel J.; Weil, Marcel R.</t>
  </si>
  <si>
    <t>Prospective Time-Resolved LCA of Fully Electric Supercap Vehicles in Germany</t>
  </si>
  <si>
    <t>Integr. Environ. Assess. Manag.</t>
  </si>
  <si>
    <t>Bautista, Sebastian P.; Weil, Marcel; Baumann, Manuel; Montenegro, Claudia Tomasini</t>
  </si>
  <si>
    <t>Prospective Life Cycle Assessment of a Model Magnesium Battery</t>
  </si>
  <si>
    <t>Energy Technol.</t>
  </si>
  <si>
    <t>Garcia-Gusano, Diego; Robert Istrate, I.; Iribarren, Diego</t>
  </si>
  <si>
    <t>Life-cycle consequences of internalising socio-environmental externalities of power generation</t>
  </si>
  <si>
    <t>Sci. Total Environ.</t>
  </si>
  <si>
    <t>Blanco, C. F.; Pauliks, N.; Donati, F.; Engberg, N.; Weber, J.</t>
  </si>
  <si>
    <t>Machine learning to support prospective life cycle assessment of emerging chemical technologies</t>
  </si>
  <si>
    <t>Curr. Opin. Green Sustain. Chem.</t>
  </si>
  <si>
    <t>Jones, Christopher; Gilbert, Paul; Raugei, Marco; Mander, Sarah; Leccisi, Enrica</t>
  </si>
  <si>
    <t>An approach to prospective consequential life cycle assessment and net energy analysis of distributed electricity generation</t>
  </si>
  <si>
    <t>van den Oever, A. E. M.; Costa, D.; Messagie, M.</t>
  </si>
  <si>
    <t>Prospective life cycle assessment of alternatively fueled heavy-duty trucks</t>
  </si>
  <si>
    <t>Roy, Krishanu; Su, Ran; Dani, Aflah Alamsah; Fang, Zhiyuan; Liang, Hao; Lim, James B. P.</t>
  </si>
  <si>
    <t>Spatiotemporal Model to Quantify Stocks of Metal Cladding Products for a Prospective Circular Economy</t>
  </si>
  <si>
    <t>Appl. Sci.-Basel</t>
  </si>
  <si>
    <t>Papageorgiou, Asterios; Bjorklund, Anna; Sinha, Rajib; de Almeida, Maria Livia Real; Steubing, Bernhard</t>
  </si>
  <si>
    <t>Int. J. Life Cycle Assess.</t>
  </si>
  <si>
    <t>Simaitis, Joris; Allen, Stephen; Vagg, Christopher</t>
  </si>
  <si>
    <t>Are future recycling benefits misleading? Prospective life cycle assessment of lithium-ion batteries</t>
  </si>
  <si>
    <t>Xu, Chengjian; Steubing, Bernhard; Hu, Mingming; Harpprecht, Carina; van der Meide, Marc; Tukker, Arnold</t>
  </si>
  <si>
    <t>Resour. Conserv. Recycl.</t>
  </si>
  <si>
    <t>Roos, Sandra; Zamani, Bahareh; Sandin, Gustav; Peters, Greg M.; Svanstrom, Magdalena</t>
  </si>
  <si>
    <t>Zubair, Muhammad Umer; Ali, Mubashir; Khan, Muhammad Arsalan; Khan, Adil; Hassan, Muhammad Usman; Tanoli, Waqas Arshad</t>
  </si>
  <si>
    <t>BIM- and GIS-Based Life-Cycle-Assessment Framework for Enhancing Eco Efficiency and Sustainability in the Construction Sector</t>
  </si>
  <si>
    <t>BUILDINGS-BASEL</t>
  </si>
  <si>
    <t>Kanchiralla, Fayas Malik; Brynolf, Selma; Mjelde, Alvar</t>
  </si>
  <si>
    <t>Role of biofuels, electro-fuels, and blue fuels for shipping: environmental and economic life cycle considerations</t>
  </si>
  <si>
    <t>Energy Environ. Sci.</t>
  </si>
  <si>
    <t>Ohms, Pernille K.; Horup, Lise Hvid; Gummidi, Srinivasa Raghavendra Bhuvan; Ryberg, Morten; Laurent, Alexis; Liu, Gang</t>
  </si>
  <si>
    <t>Cox, Brian; Bauer, Christian; Beltran, Angelica Mendoza; van Vuuren, Detlef P.; Mutel, Christopher L.</t>
  </si>
  <si>
    <t>Gao, Ying</t>
  </si>
  <si>
    <t>Revisiting energy transition projects future with coal-to-gas energy projects: assessing through life-cycle project cost method</t>
  </si>
  <si>
    <t>Environ. Sci. Pollut. Res.</t>
  </si>
  <si>
    <t>McManus, Marcelle C.; Taylor, Caroline M.</t>
  </si>
  <si>
    <t>The changing nature of life cycle assessment</t>
  </si>
  <si>
    <t>Biomass Bioenerg.</t>
  </si>
  <si>
    <t>Yang, Soo Jin; Hwang, Yong Woo; Kim, Young Woon; Park, Mi Sook; Nam, Jun Hee; Kang, Hong Yoon</t>
  </si>
  <si>
    <t>Environmental and Economic Benefits Induced by a Remanufactured Portable Power Station</t>
  </si>
  <si>
    <t>Peiu, Nicolae</t>
  </si>
  <si>
    <t>Life Cycle Inventory Study of the electrical energy production in Romania</t>
  </si>
  <si>
    <t>Ee, Alvin W. L.; Lee, Jonathan T. E.; Tian, Hailin; Lim, Ee Yang; Yan, Miao; Tong, Yen Wah; Zhang, Jingxin; Ng, Adam T. S.; Ok, Yong Sik; Kua, Harn Wei</t>
  </si>
  <si>
    <t>Current status on utilizing a life cycle system perspective to evaluate renewable energy production systems for achieving UN SDGs</t>
  </si>
  <si>
    <t>Navas-Anguita, Zaira; Garcia-Gusano, Diego; Iribarren, Diego</t>
  </si>
  <si>
    <t>Prospective Life Cycle Assessment of the Increased Electricity Demand Associated with the Penetration of Electric Vehicles in Spain</t>
  </si>
  <si>
    <t>Chang, She-, I; Yen, David C.; Huang, Shi-Ming; Hung, Pei-Qei</t>
  </si>
  <si>
    <t>An ERR System Life Cycle-Wide Management and Support Framework for Small- and Medium-Sized Companies</t>
  </si>
  <si>
    <t>Commun. Assoc. Inf. Syst.</t>
  </si>
  <si>
    <t>Bruhn, Simon; Sacchi, Romain; Cimpan, Ciprian; Birkved, Morten</t>
  </si>
  <si>
    <t>Mair-Bauernfeind, Claudia; Zimek, Martina; Asada, Raphael; Bauernfeind, Daniel; Baumgartner, Rupert J.; Stern, Tobias</t>
  </si>
  <si>
    <t>Prospective sustainability assessment: the case of wood in automotive applications</t>
  </si>
  <si>
    <t>Thevenot, Alexandre; Rivera, Julio L.; Wilfart, Aurelie; Maillard, Frederic; Hassouna, Melynda; Senga-Kiesse, Tristan; Le Feon, Samuel; Aubin, Joel</t>
  </si>
  <si>
    <t>Mealworm meal for animal feed: Environmental assessment and sensitivity analysis to guide future prospects</t>
  </si>
  <si>
    <t>Hong, Y.; Ezeh, Collins, I; Deng, W.; Hong, S-H; Ma, Y.; Tang, Y.; Jin, Y.</t>
  </si>
  <si>
    <t>Coordinated energy-environmental-economic optimisation of building retrofits for optimal energy performance on a macro-scale: A life-cycle cost-based evaluation</t>
  </si>
  <si>
    <t>Energy Conv. Manag.</t>
  </si>
  <si>
    <t>Senan-Salinas, Jorge; Blanco, Alberto; Garcia-Pacheco, Raquel; Landaburu-Aguirre, Junkal; Garcia-Calvo, Eloy</t>
  </si>
  <si>
    <t>Prospective Life Cycle Assessment and economic analysis of direct recycling of end-of-life reverse osmosis membranes based on Geographic Information Systems</t>
  </si>
  <si>
    <t>Villacreses-Freire, Daniela; Ketzer, Franziska; Roesch, Christine</t>
  </si>
  <si>
    <t>Advanced Metabolic Engineering Approaches and Renewable Energy to Improve Environmental Benefits of Algal Biofuels: LCA of Large-scale Biobutanol Production with Cyanobacteria Synechocystis PCC6803</t>
  </si>
  <si>
    <t>BioEnergy Res.</t>
  </si>
  <si>
    <t>Kim, H. C.; Fthenakis, V. M.</t>
  </si>
  <si>
    <t>Comparative life-cycle energy payback analysis of multi-junction a-SiGe and nanocrystalline/a-Si modules</t>
  </si>
  <si>
    <t>Prog. Photovoltaics</t>
  </si>
  <si>
    <t>Patwary, Sarif; Haque, Md Ariful; Kharraz, Jehad A.; Khanzada, Noman Khalid; Farid, Muhammad Usman; Kumar, Nallapaneni Manoj</t>
  </si>
  <si>
    <t>Apparel Consumer Behavior and Circular Economy: Towards a Decision-Tree Framework for Mindful Clothing Consumption</t>
  </si>
  <si>
    <t>de Bortoli, A.; Bjorn, Anders; Saunier, Francois; Margni, Manuele</t>
  </si>
  <si>
    <t>Planning sustainable carbon neutrality pathways: accounting challenges experienced by organizations and solutions from industrial ecology</t>
  </si>
  <si>
    <t>Lulovicova, Andrea; Bouissou, Stephane</t>
  </si>
  <si>
    <t>Life cycle assessment as a prospective tool for sustainable agriculture and food planning at a local level</t>
  </si>
  <si>
    <t>Geogr. Sustain.</t>
  </si>
  <si>
    <t>Schulte, Rieke A. A.; Link, Andreas; Siegert, Marc-William; Finkbeiner, Matthias</t>
  </si>
  <si>
    <t>Modeling the use and end-of-life phase of pharmaceuticals in support of a life cycle inventory analysis - Case study on different antibiotics in Germany</t>
  </si>
  <si>
    <t>SUSTAIN. CHEM. PHARM.</t>
  </si>
  <si>
    <t>Lan, Jun; Lenzen, Manfred; Dietzenbacher, Erik; Moran, Daniel; Kanemoto, Keiichiro; Murray, Joy; Geschke, Arne</t>
  </si>
  <si>
    <t>Structural Change and the Environment A Case Study of China's Production Recipe and Carbon Dioxide Emissions</t>
  </si>
  <si>
    <t>Civancik-Uslu, Didem; Nhu, T. T.; Van Gorp, Bart; Kresovic, Uros; Larrain, Macarena; Billen, Pieter; Ragaert, Kim; De Meester, Steven; Dewulf, Jo; Huysveld, Sophie</t>
  </si>
  <si>
    <t>Moving from linear to circular household plastic packaging in Belgium: Prospective life cycle assessment of mechanical and thermochemical recycling</t>
  </si>
  <si>
    <t>Gnansounou, Edgard; Raman, Jegannathan Kenthorai</t>
  </si>
  <si>
    <t>Environmental performances of coproducts. Application of Claiming-Based Allocation models to straw and vetiver biorefineries in an Indian context</t>
  </si>
  <si>
    <t>Bioresour. Technol.</t>
  </si>
  <si>
    <t>Marquardt, Sandra G.; Joyce, P. James; Rigarlsford, Giles; Dotsch-Klerk, Mariska; van Elk, Kathelijn; Doelman, Jonathan; Daioglou, Vassilis; Huijbregts, Mark A. J.; Sim, Sarah</t>
  </si>
  <si>
    <t>Prospective life cycle assessment of climate and biodiversity impacts of meat-based and plant-forward meals: A case study of Indonesian and German meal options</t>
  </si>
  <si>
    <t>Douziech, Melanie; Tosti, Lorenzo; Ferrara, Nicola; Parisi, Maria Laura; Perez-Lopez, Paula; Ravier, Guillaume</t>
  </si>
  <si>
    <t>Applying Harmonised Geothermal Life Cycle Assessment Guidelines to the Rittershoffen Geothermal Heat Plant</t>
  </si>
  <si>
    <t>Sedrik, Rauno; Bonjour, Olivier; de Souza, Narie Rinke Dias; Ismagilova, Alina; Tamsalu, Iris; Kisand, Veljo; Cherubini, Francesco; Jannasch, Patric; Vares, Lauri</t>
  </si>
  <si>
    <t>Aromatic Polymethacrylates from Lignin-Based Feedstock: Synthesis, Thermal Properties, Life-Cycle Assessment and Toxicity</t>
  </si>
  <si>
    <t>ChemSusChem</t>
  </si>
  <si>
    <t>Morfeldt, Johannes; Kurland, Simon Davidsson; Johansson, Daniel J. A.</t>
  </si>
  <si>
    <t>Glisovic, Srdjan; Stojiljkovic, Evica; Stojiljkovic, Predrag</t>
  </si>
  <si>
    <t>The state of play in disseminating LCM practices in the Western Balkan region: the attitude of Serbian SMEs</t>
  </si>
  <si>
    <t>Ng, Zi Wei; Gan, Hui Xin; Putranto, Aditya; Rhamdhani, M. Akbar; Zein, Sharif H.; George, Oluwafemi Ayodele; Giwangkara, Jannata; Butar, Ivan</t>
  </si>
  <si>
    <t>Process design and life cycle assessment of furfural and glucose co-production derived from palm oil empty fruit bunches</t>
  </si>
  <si>
    <t>Environ. Dev. Sustain.</t>
  </si>
  <si>
    <t>Raugei, Marco; Kamran, Mashael; Hutchinson, Allan</t>
  </si>
  <si>
    <t>Barbosa, Fernando C.; Nogueira, Guilherme P.; Kendrick, Emanuele; Franco, Telma T.; Leak, David; Dias, Mariana O. S.; Cavaliero, Carla K. N.; Goldbeck, Rosana</t>
  </si>
  <si>
    <t>Production of cello-oligosaccharides through the biorefinery concept: A technical-economic and life-cycle assessment</t>
  </si>
  <si>
    <t>Biofuels Bioprod. Biorefining</t>
  </si>
  <si>
    <t>Ahmadi, Pouria; Kjeang, Erik</t>
  </si>
  <si>
    <t>Comparative life cycle assessment of hydrogen fuel cell passenger vehicles in different Canadian provinces</t>
  </si>
  <si>
    <t>Adrianto, Lugas Raka; Ciacci, Luca; Fister, Stephan P.; Hellweg, Stefanie</t>
  </si>
  <si>
    <t>Berrill, Peter; Arvesen, Anders; Scholz, Yvonne; Gils, Hans Christian; Hertwich, Edgar G.</t>
  </si>
  <si>
    <t>Environ. Res. Lett.</t>
  </si>
  <si>
    <t>Faber, Grant; Ruttinger, Andrew; Strunge, Till; Langhorst, Tim; Zimmermann, Arno; van der Hulst, Mitchell; Bensebaa, Farid; Moni, Sheikh; Tao, Ling</t>
  </si>
  <si>
    <t>Adapting Technology Learning Curves for Prospective Techno-Economic and Life Cycle Assessments of Emerging Carbon Capture and Utilization Pathways</t>
  </si>
  <si>
    <t>Front. Clim.</t>
  </si>
  <si>
    <t>Mao, Jiaer; Chen, Haoyu; Xu, Xiangyang; Zhu, Liang</t>
  </si>
  <si>
    <t>Assessing greenhouse gas emissions from the printing and dyeing wastewater treatment and reuse system: Potential pathways towards carbon neutrality</t>
  </si>
  <si>
    <t>Blume, Nick; Zielinski, Oliver; Becker, Maik; Minke, Christine</t>
  </si>
  <si>
    <t>Prospective Life Cycle Assessment of Chemical Electrolyte Recycling for Vanadium Flow Batteries: A Comprehensive Study</t>
  </si>
  <si>
    <t>Zhang, Xiaojin; Heeren, Niko; Bauer, Christian; Burgherr, Peter; Mckenna, Russell; Habert, Guillaume</t>
  </si>
  <si>
    <t>The impacts of future sectoral change on the greenhouse gas emissions of construction materials for Swiss residential buildings</t>
  </si>
  <si>
    <t>Energy Build.</t>
  </si>
  <si>
    <t>Sacchi, R.; Terlouw, T.; Siala, K.; Dirnaichner, A.; Bauer, C.; Cox, B.; Mutel, C.; Daioglou, V.; Luderer, G.</t>
  </si>
  <si>
    <t>Renew. Sust. Energ. Rev.</t>
  </si>
  <si>
    <t>Rawindran, Hemamalini; Lim, Jun Wei; Lam, Man Kee; Supramaniam, Uganeeswary; Tong, Woei-Yenn; Ng, Hui-Suan; Shahid, Muhammad Kashif; Lin, Chuxia; Usman, Anwar; Samdani, Mohammad Shahzad</t>
  </si>
  <si>
    <t>Assessing Microalgal Protein's Impact on Environment and Energy Footprint via Life Cycle Analysis</t>
  </si>
  <si>
    <t>Mol. Biotechnol.</t>
  </si>
  <si>
    <t>Thonemann, Nils; Pierrat, Eleonore; Dudka, Katarzyna Maria; Saavedra-Rubio, Karen; Dragsdahl, Anna Lia S. Tromer; Laurent, Alexis</t>
  </si>
  <si>
    <t>Martin-Gamboa, Mario; Iribarren, Diego; Garcia-Gusano, Diego; Dufour, Javier</t>
  </si>
  <si>
    <t>Garcia-Gusano, Diego; Iribarren, Diego</t>
  </si>
  <si>
    <t>Prospective energy security scenarios in Spain: The future role of renewable power generation technologies and climate change implications</t>
  </si>
  <si>
    <t>Renew. Energy</t>
  </si>
  <si>
    <t>Raugei, Marco; Hutchinson, Allan; Morrey, Denise</t>
  </si>
  <si>
    <t>Can electric vehicles significantly reduce our dependence on non-renewable energy? Scenarios of compact vehicles in the UK as a case in point</t>
  </si>
  <si>
    <t>Weidner, Till; Tulus, Victor; Guillen-Gosalbez, Gonzalo</t>
  </si>
  <si>
    <t>Garcia, Carlos A.; Manzini, Fabio</t>
  </si>
  <si>
    <t>Environmental and economic feasibility of sugarcane ethanol for the Mexican transport sector</t>
  </si>
  <si>
    <t>Sol. Energy</t>
  </si>
  <si>
    <t>Lippke, Bruce; Gustafson, Richard; Venditti, Richard; Steele, Philip; Volk, Timothy A.; Oneil, Elaine; Johnson, Leonard; Puettmann, Maureen E.; Skog, Kenneth</t>
  </si>
  <si>
    <t>Comparing Life-Cycle Carbon and Energy Impacts for Biofuel, Wood Product, and Forest Management Alternatives</t>
  </si>
  <si>
    <t>For. Prod. J.</t>
  </si>
  <si>
    <t>Maes, Ben; Craeye, Bart; Buyle, Matthias; Audenaert, Amaryllis</t>
  </si>
  <si>
    <t>Levasseur, Annie; Bahn, Olivier; Beloin-Saint-Pierre, Didier; Marinova, Mariya; Vaillancourt, Kathleen</t>
  </si>
  <si>
    <t>Assessing butanol from integrated forest biorefinery: A combined techno-economic and life cycle approach</t>
  </si>
  <si>
    <t>Maes, Ben; Sacchi, Romain; Steubing, Bernhard; Pizzol, Massimo; Audenaert, Amaryllis; Craeye, Bart; Buyle, Matthias</t>
  </si>
  <si>
    <t>Meylan, Gregoire; Haupt, Melanie; Duygan, Mert; Hellweg, Stefanie; Stauffacher, Michael</t>
  </si>
  <si>
    <t>Waste Manage.</t>
  </si>
  <si>
    <t>de Souza, Narie Rinke Dias; Matt, Livia; Sedrik, Rauno; Vares, Lauri; Cherubini, Francesco</t>
  </si>
  <si>
    <t>Integrating ex-ante and prospective life-cycle assessment for advancing the environmental impact analysis of emerging bio-based technologies</t>
  </si>
  <si>
    <t>Dong, Di; Tukker, Arnold; Steubing, Bernhard; Van Oers, Lauran; Rechberger, Helmut; Aguilar-Hernandez, Glenn Alonso; Li, Huajiao; Voet, Ester Van der</t>
  </si>
  <si>
    <t>Assessing China?s potential for reducing primary copper demand and associated environmental impacts in the context of energy transition and ?Zero waste? policies</t>
  </si>
  <si>
    <t>Environmental implications of the ongoing electrification of the UK light duty vehicle fleet</t>
  </si>
  <si>
    <t>Valente, Antonio; Iribarren, Diego; Dufour, Javier</t>
  </si>
  <si>
    <t>Prospective carbon footprint comparison of hydrogen options</t>
  </si>
  <si>
    <t>Yao, Xinqian; Zhu, Jiandong; Li, Enchao; Xiong, Fei; Zhang, Bo</t>
  </si>
  <si>
    <t>Comprehensive benefit analysis of zero-liquid discharge system for cold-rolling wastewater in iron and steel industry</t>
  </si>
  <si>
    <t>J. Water Process. Eng.</t>
  </si>
  <si>
    <t>Dirnaichner, Alois; Rottoli, Marianna; Sacchi, Romain; Rauner, Sebastian; Cox, Brian; Mutel, Christopher; Bauer, Christian; Luderer, Gunnar</t>
  </si>
  <si>
    <t>Fagen, ME; Phares, BM</t>
  </si>
  <si>
    <t>Life-cycle cost analysis of a low-volume road bridge alternative</t>
  </si>
  <si>
    <t>Chobtang, Jeerasak; McLaren, Sarah J.; Ledgard, Stewart F.; Donaghy, Daniel J.</t>
  </si>
  <si>
    <t>Environmental trade-offs associated with intensification methods in a pasture-based dairy system using prospective attributional Life Cycle Assessment</t>
  </si>
  <si>
    <t>van der Meide, Marc; Harpprecht, Carina; Northey, Stephen; Yang, Yongxiang; Steubing, Bernhard</t>
  </si>
  <si>
    <t>Usai, Lorenzo; Hung, Christine Roxanne; Vasquez, Felipe; Windsheimer, Max; Burheim, Odne Stokke; Stromman, Anders Hammer</t>
  </si>
  <si>
    <t>Life cycle assessment of fuel cell systems for light duty vehicles, current state-of-the-art and future impacts</t>
  </si>
  <si>
    <t>Harpprecht, Carina; Oers, Lauran; Northey, Stephen A.; Yang, Yongxiang; Steubing, Bernhard</t>
  </si>
  <si>
    <t>Environmental impacts of key metals' supply and low-carbon technologies are likely to decrease in the future</t>
  </si>
  <si>
    <t>Georgiades, Maria; Shah, Izhar Hussain; Steubing, Bernhard; Cheeseman, Christopher; Myers, RupertJ.</t>
  </si>
  <si>
    <t>Alaux, Nicolas; Saade, Marcella Ruschi Mendes; Hoxha, Endrit; Truger, Barbara; Passer, Alexander</t>
  </si>
  <si>
    <t>Future trends in materials manufacturing for low carbon building stocks: A prospective macro-scale analysis at the provincial level</t>
  </si>
  <si>
    <t>Styles, David; Yesufu, Jalil; Bowman, Martin; Williams, A. Prysor; Duffy, Colm; Luyckx, Karen</t>
  </si>
  <si>
    <t>Climate mitigation efficacy of anaerobic digestion in a decarbonising economy</t>
  </si>
  <si>
    <t>Leao, Susana; Roux, Philippe; Loiseau, Eleonore; Junqua, Guillaume; Sferratore, Agata; Penru, Ywann; Rosenbaum, Ralph K.</t>
  </si>
  <si>
    <t>Prospective Water Supply Mix for Life Cycle Assessment and Resource Policy Support-Assessment of Forecasting Scenarios Accounting for Future Changes in Water Demand and Availability</t>
  </si>
  <si>
    <t>Environ. Sci. Technol.</t>
  </si>
  <si>
    <t>Porcelli, Roberto; Gibon, Thomas; Marazza, Diego; Righi, Serena; Rugani, Benedetto</t>
  </si>
  <si>
    <t>Prospective environmental impact assessment and simulation applied to an emerging biowaste-based energy technology in Europe</t>
  </si>
  <si>
    <t>Alishaq, Abdulla; Cooper, Jasmin; Woods, Jeremy; Mwabonje, Onesmus</t>
  </si>
  <si>
    <t>Environmental impacts of battery electric light-duty vehicles using a dynamic life cycle assessment for qatar's transport system (2022 to 2050)</t>
  </si>
  <si>
    <t>Rossi, Federico; Kipyator, Mercy Jelagat; Aernouts, Tom; Pettersson, Henrik; Basosi, Riccardo; Parisi, Maria Laura; Sinicropi, Adalgisa</t>
  </si>
  <si>
    <t>Unveiling the potential of perovskite solar systems in building integrated installations: A consequential and prospective life cycle assessment and economic analysis</t>
  </si>
  <si>
    <t>Feng, Tao; Guo, Wei; Li, Wei; Hua, Lin; Zhao, Feng</t>
  </si>
  <si>
    <t>Lithium-sulfur - sulfur batteries for next-generation automotive power batteries carbon emission assessment and sustainability study in China</t>
  </si>
  <si>
    <t>J. Energy Storage</t>
  </si>
  <si>
    <t>Ponstein, Helena J.; Ghinoi, Stefano; Steiner, Bodo</t>
  </si>
  <si>
    <t>How to increase sustainability in the Finnish wine supply chain? Insights from a country of origin based greenhouse gas emissions analysis</t>
  </si>
  <si>
    <t>Haslinger, Anna-Sophie; Huysveld, Sophie; Cadena, Erasmo; Dewulf, Jo</t>
  </si>
  <si>
    <t>Guidelines on the selection and inventory of social life cycle assessment indicators: a case study on flexible plastic packaging in the European circular economy</t>
  </si>
  <si>
    <t>Garcia-Gusano, Diego; Iribarren, Diego; Garrain, Daniel</t>
  </si>
  <si>
    <t>Prospective analysis of energy security: A practical life-cycle approach focused on renewable power generation and oriented towards policy-makers</t>
  </si>
  <si>
    <t>Barke, Alexander; Cistjakov, Walter; Steckermeier, Dominik; Thies, Christian; Popien, Jan-Linus; Michalowski, Peter; Pinheiro Melo, Sofia; Cerdas, Felipe; Herrmann, Christoph; Krewer, Ulrike; Kwade, Arno; Spengler, Thomas S.</t>
  </si>
  <si>
    <t>Green batteries for clean skies: Sustainability assessment of lithium-sulfur all-solid-state batteries for electric aircraft</t>
  </si>
  <si>
    <t>Tao, Yiran; Brander, Matthew</t>
  </si>
  <si>
    <t>A comparative prospective life cycle assessment of coal-fired power plants in the US with MEA/MOF-based carbon capture</t>
  </si>
  <si>
    <t>Mastrucci, Alessio; Guo, Fei; Zhong, Xiaoyang; Maczek, Florian; van Ruijven, Bas</t>
  </si>
  <si>
    <t>Circular strategies for building sector decarbonization in China: A scenario analysis</t>
  </si>
  <si>
    <t>Buyle, Matthias; Pizzol, Massimo; Audenaert, Amaryllis</t>
  </si>
  <si>
    <t>Identifying marginal suppliers of construction materials: consistent modeling and sensitivity analysis on a Belgian case</t>
  </si>
  <si>
    <t>Haase, M.; Wulf, C.; Baumann, M.; Ersoy, H.; Koj, J. C.; Harzendorf, F.; Estrada, L. S. Mesa</t>
  </si>
  <si>
    <t>Multi-criteria decision analysis for prospective sustainability assessment of alternative technologies and fuels for individual motorized transport</t>
  </si>
  <si>
    <t>Karayilan, Sevde; Yilmaz, Ozge; Uysal, Cinar; Naneci, Serkan</t>
  </si>
  <si>
    <t>Prospective evaluation of circular economy practices within plastic packaging value chain through optimization of life cycle impacts and circularity</t>
  </si>
  <si>
    <t>Bruhn, Simon; Gislason, Styrmir; Rogild, Trine; Andreasen, Matilde; Ditlevsen, Frederik; Larsen, Julie; Sonderholm, Nana; Fossat, Sissel; Birkved, Morten</t>
  </si>
  <si>
    <t>Pioneering historical LCA - A perspective on the development of personal carbon footprint 1860-2020 in Denmark</t>
  </si>
  <si>
    <t>Queheille, Eva; Dauvergne, Michel; Ventura, Anne</t>
  </si>
  <si>
    <t>Prospective Life Cycle Assessment at Early Stage of Product Development: Application to Nickel Slag Valorization Into Cement for the Construction Sector</t>
  </si>
  <si>
    <t>Front. Built Environ.</t>
  </si>
  <si>
    <t>Watanabe, Marcos Djun Barbosa; Cherubini, Francesco; Cavalett, Otavio</t>
  </si>
  <si>
    <t>Xue, Xingyu; Li, Jianxin; Sun, Xin; Abdul-Manan, Amir F. N.; Du, Sha; Liu, Huanran; Xu, Shujie; Zhao, Mingnan</t>
  </si>
  <si>
    <t>Assessing decarbonization pathways of China's heavy-duty trucks in a well-to-wheels perspective</t>
  </si>
  <si>
    <t>Bohnes, Florence Alexia; Hauschild, Michael Zwicky; Schlundt, Jorgen; Nielsen, Max; Laurent, Alexis</t>
  </si>
  <si>
    <t>Environmental sustainability of future aquaculture production: Analysis of Singaporean and Norwegian policies</t>
  </si>
  <si>
    <t>Aquaculture</t>
  </si>
  <si>
    <t>Lamers, Patrick; Ghosh, Tapajyoti; Upasani, Shubhankar; Sacchi, Romain; Daioglou, Vassilis</t>
  </si>
  <si>
    <t>Boubault, Antoine; Kang, Seungwoo; Maizi, Nadia</t>
  </si>
  <si>
    <t>Balar, Nikunj B.; Mantri, Vaibhav A.</t>
  </si>
  <si>
    <t>Insights into life cycle patterns, spore formation, induction of reproduction, biochemical and molecular aspects of sporulation in green algal genus Ulva: implications for commercial cultivation</t>
  </si>
  <si>
    <t>J. Appl. Phycol.</t>
  </si>
  <si>
    <t>Mueller, Amelie; Harpprecht, Carina; Sacchi, Romain; Maes, Ben; van Sluisveld, Mariesse; Daioglou, Vassilis; Savija, Branko; Steubing, Bernhard</t>
  </si>
  <si>
    <t>Yu, Susana; Webb, Gwendolyn</t>
  </si>
  <si>
    <t>The information content of dividend initiation announcements The case of information technology firms</t>
  </si>
  <si>
    <t>Manag. Financ.</t>
  </si>
  <si>
    <t>Fthenakis, Vasilis</t>
  </si>
  <si>
    <t>Sustainability metrics for extending thin-film photovoltaics to terawatt levels</t>
  </si>
  <si>
    <t>MRS Bull.</t>
  </si>
  <si>
    <t>Albers, Ariane; Collet, Pierre; Benoist, Anthony; Helias, Arnaud</t>
  </si>
  <si>
    <t>Back to the future: dynamic full carbon accounting applied to prospective bioenergy scenarios</t>
  </si>
  <si>
    <t>Hesser, Franziska; Wohner, Bernhard; Meints, Tillmann; Stern, Tobias; Windsperger, Andreas</t>
  </si>
  <si>
    <t>Integration of LCA in R&amp;D by applying the concept of payback period: case study of a modified multilayer wood parquet</t>
  </si>
  <si>
    <t>Stott, Iain; Townley, Stuart; Carslake, David; Hodgson, David J.</t>
  </si>
  <si>
    <t>On reducibility and ergodicity of population projection matrix models</t>
  </si>
  <si>
    <t>Methods Ecol. Evol.</t>
  </si>
  <si>
    <t>Raugei, Marco; Winfield, Patricia</t>
  </si>
  <si>
    <t>Prospective LCA of the production and EoL recycling of a novel type of Li-ion battery for electric vehicles</t>
  </si>
  <si>
    <t>Andrade, Edilene Pereira; Bonmati, August; Esteller, Laureano Jimenez; Vallejo, Assumpcio Anton</t>
  </si>
  <si>
    <t>Assessment of social aspects across Europe resulting from the insertion of technologies for nutrient recovery and recycling in agriculture</t>
  </si>
  <si>
    <t>Kaddoura, Mohamad; Majeau-Bettez, Guillaume; Amor, Ben; Moreau, Christian; Margni, Manuele</t>
  </si>
  <si>
    <t>Investigating the role of surface engineering in mitigating greenhouse gas emissions of energy technologies: An outlook towards 2100</t>
  </si>
  <si>
    <t>Watanabe, Marcos D. B.; Hu, Xiangping; Ballal, Vedant; Cavalett, Otavio; Cherubini, Francesco</t>
  </si>
  <si>
    <t>Climate change mitigation potentials of on grid-connected Power-to-X fuels and advanced biofuels for the European maritime transport</t>
  </si>
  <si>
    <t>Energy Conv. Manag.-X</t>
  </si>
  <si>
    <t>Navas-Anguita, Zaira; Garcia-Gusano, Diego; Dufour, Javier; Iribarren, Diego</t>
  </si>
  <si>
    <t>Prospective techno-economic and environmental assessment of a national hydrogen production mix for road transport</t>
  </si>
  <si>
    <t>Ayagapin, Leslie; Praene, Jean Philippe; Jaggeshar, Doorgeshwaree; Surroop, Dinesh</t>
  </si>
  <si>
    <t>Prospective Life Cycle Assessment: Effect of Electricity Decarbonization in Building Sector</t>
  </si>
  <si>
    <t>Hospido, Almudena; Davis, Jennifer; Berlin, Johanna; Sonesson, Ulf</t>
  </si>
  <si>
    <t>A review of methodological issues affecting LCA of novel food products</t>
  </si>
  <si>
    <t>Monnier, Robin; Schalbart, Patrick; Roux, Charlotte; Peuportier, Bruno</t>
  </si>
  <si>
    <t>Integrating effects of overheating on human health into buildings' life cycle assessment</t>
  </si>
  <si>
    <t>Peters, Jens; Buchholz, Daniel; Passerini, Stefano; Weil, Marcel</t>
  </si>
  <si>
    <t>Life cycle assessment of sodium-ion batteries</t>
  </si>
  <si>
    <t>Cederberg, C; Stadig, M</t>
  </si>
  <si>
    <t>System expansion and allocation in life cycle assessment of milk and beef production</t>
  </si>
  <si>
    <t>Renew. Energ. Focus</t>
  </si>
  <si>
    <t>Deutz, Sarah; Bongartz, Dominik; Heuser, Benedikt; Kaetelhoen, Arne; Langenhorst, Luisa Schulze; Omari, Ahmad; Walters, Marius; Klankermayer, Juergen; Leitner, Walter; Mitsos, Alexander; Pischinger, Stefan; Bardow, Andre</t>
  </si>
  <si>
    <t>Cleaner production of cleaner fuels: wind-to-wheel - environmental assessment of CO2-based oxymethylene ether as a drop-in fuel</t>
  </si>
  <si>
    <t>Wang, Guangzheng; Liao, Qian; Xu, He</t>
  </si>
  <si>
    <t>Anticipating future photovoltaic waste generation in China: Navigating challenges and exploring prospective recycling solutions</t>
  </si>
  <si>
    <t>Environ. Impact Assess. Rev.</t>
  </si>
  <si>
    <t>Rudisuli, Martin; Bach, Christian; Bauer, Christian; Beloin-Saint-Pierre, Didier; Elber, Urs; Georges, Gil; Limpach, Robert; Pareschi, Giacomo; Kannan, Ramachandran; Teske, Sinan L.</t>
  </si>
  <si>
    <t>Prospective life-cycle assessment of greenhouse gas emissions of electricity-based mobility options</t>
  </si>
  <si>
    <t>Garcia-Gusano, Diego; Iribarren, Diego; Dufour, Javier</t>
  </si>
  <si>
    <t>Is coal extension a sensible option for energy planning? A combined energy systems modelling and life cycle assessment approach</t>
  </si>
  <si>
    <t>Iguider, Mehdi; Robineau, Paul; Kozderka, Michal; Boltoeva, Maria; Quaranta, Gaetana</t>
  </si>
  <si>
    <t>Life cycle assessment of an upcoming nuclear power plant decommissioning: the Fessenheim case study from public data</t>
  </si>
  <si>
    <t>Lai, Yat Yin; Karakaya, Emrah; Bjoerklund, Anna</t>
  </si>
  <si>
    <t>Front. Sustain.</t>
  </si>
  <si>
    <t>Qiu, Yang; Lamers, Patrick; Daioglou, Vassilis; McQueen, Noah; de Boer, Harmen-Sytze; Harmsen, Mathijs; Wilcox, Jennifer; Bardow, Andre; Suh, Sangwon</t>
  </si>
  <si>
    <t>Nat. Commun.</t>
  </si>
  <si>
    <t>EVANS, G</t>
  </si>
  <si>
    <t>CLASS, PROSPECTS AND THE LIFE-CYCLE - EXPLAINING THE ASSOCIATION BETWEEN CLASS POSITION AND POLITICAL PREFERENCES</t>
  </si>
  <si>
    <t>Acta Sociol.</t>
  </si>
  <si>
    <t>Watanabe, Marcos D. B.; Cherubini, Francesco; Tisserant, Alexandre; Cavalett, Otavio</t>
  </si>
  <si>
    <t>Fernandez-Dacosta, Cora; Shen, Li; Schakel, Wouter; Ramirez, Andrea; Kramer, Gert Jan</t>
  </si>
  <si>
    <t>Potential and challenges of low-carbon energy options: Comparative assessment of alternative fuels for the transport sector</t>
  </si>
  <si>
    <t>Seckinger, Nils; Radgen, Peter</t>
  </si>
  <si>
    <t>Dynamic Prospective Average and Marginal GHG Emission Factors-Scenario-Based Method for the German Power System until 2050</t>
  </si>
  <si>
    <t>Kristensen, Kaja; Konig, Hans-Helmut; Hajek, Andre</t>
  </si>
  <si>
    <t>The empty nest, depressive symptoms and loneliness of older parents: Prospective findings from the German Ageing Survey</t>
  </si>
  <si>
    <t>Arch. Gerontol. Geriatr.</t>
  </si>
  <si>
    <t>Morfeldt, Johannes; Shoman, Wasim; Johansson, Daniel J. A.; Yeh, Sonia; Karlsson, Sten</t>
  </si>
  <si>
    <t>If Electric Cars Are Good for Reducing Emissions, They Could Be Even Better with Electric Roads</t>
  </si>
  <si>
    <t>Azzi, Elias S.; Karltun, Erik; Sundberg, Cecilia</t>
  </si>
  <si>
    <t>Prospective Life Cycle Assessment of Large-Scale Biochar Production and Use for Negative Emissions in Stockholm</t>
  </si>
  <si>
    <t>Mikhaylin, Sergey; Patouillard, Laure; Margni, Manuele; Bazinet, Laurent</t>
  </si>
  <si>
    <t>Milk protein production by a more environmentally sustainable process: bipolar membrane electrodialysis coupled with ultrafiltration</t>
  </si>
  <si>
    <t>Green Chem.</t>
  </si>
  <si>
    <t>Volkart, Kathrin; Weidmann, Nicolas; Bauer, Christian; Hirschberg, Stefan</t>
  </si>
  <si>
    <t>Hossain, Md Uzzal; Ng, S. Thomas; Antwi-Afari, Prince; Amor, Ben</t>
  </si>
  <si>
    <t>Circular economy and the construction industry: Existing trends, challenges and prospective framework for sustainable construction</t>
  </si>
  <si>
    <t>Albers, Ariane; Collet, Pierre; Lorne, Daphne; Benoist, Anthony; Helias, Arnaud</t>
  </si>
  <si>
    <t>Bernard, F.; Prieur, A.</t>
  </si>
  <si>
    <t>Biofuel market and carbon modeling to analyse French biofuel policy</t>
  </si>
  <si>
    <t>Aga, Wondwosen S.; Fantaye, Solomon K.; Jabasingh, S. Anuradha</t>
  </si>
  <si>
    <t>Biodiesel production from Ethiopian 'Besana'- Croton macrostachyus seed: Characterization and optimization</t>
  </si>
  <si>
    <t>Raugei, Marco; Leccisi, Enrica; Azzopardi, Brian; Jones, Christopher; Gilbert, Paul; Zhang, Lingxi; Zhou, Yutian; Mander, Sarah; Mancarella, Pierluigi</t>
  </si>
  <si>
    <t>A multi-disciplinary analysis of UK grid mix scenarios with large-scale PV deployment</t>
  </si>
  <si>
    <t>Yang, Qiushuang; Masek, Ondrej; Zhao, Ling; Nan, Hongyan; Yu, Shitong; Yin, Jianxiang; Li, Zhaopeng; Cao, Xinde</t>
  </si>
  <si>
    <t>Country-level potential of carbon sequestration and environmental benefits by utilizing crop residues for biochar implementation</t>
  </si>
  <si>
    <t>Martin-Gamboa, Mario; Mancini, Lucia; Eynard, Umberto; Arrigoni, Alessandro; Valente, Antonio; Weidner, Eveline; Mathieux, Fabrice</t>
  </si>
  <si>
    <t>Social life cycle hotspot analysis of future hydrogen use in the EU</t>
  </si>
  <si>
    <t>Maturana, Marcos Coelho; Martins, Marcelo Ramos</t>
  </si>
  <si>
    <t>Technique for Early Consideration of Human Reliability: Applying a Generic Model in an Oil Tanker Operation to Study Scenarios of Collision</t>
  </si>
  <si>
    <t>J. Offshore Mech. Arct. Eng. Trans. ASME</t>
  </si>
  <si>
    <t>Xie, Haonan; Ahmad, Tanveer; Zhang, Dongdong; Goh, Hui Hwang; Wu, Thomas</t>
  </si>
  <si>
    <t>Community-based virtual power plants' technology and circular economy models in the energy sector: A Techno-economy study</t>
  </si>
  <si>
    <t>Hildebrandt, Jakob; Bezama, Alberto; Thraen, Daniela</t>
  </si>
  <si>
    <t>Insights from the Sustainability Monitoring Tool SUMINISTRO Applied to a Case Study System of Prospective Wood-Based Industry Networks in Central Germany</t>
  </si>
  <si>
    <t>Huang, Kaixin; Eckelman, Matthew J.</t>
  </si>
  <si>
    <t>Appending material flows to the National Energy Modeling System (NEMS) for projecting the physical economy of the United States</t>
  </si>
  <si>
    <t>Lathan, Ross; Hitchman, Louise; Walshaw, Josephine; Ravindhran, Bharadhwaj; Carradice, Daniel; Smith, George; Chetter, Ian; Yiasemidou, Marina</t>
  </si>
  <si>
    <t>Telemedicine for sustainable postoperative follow-up: a prospective pilot study evaluating the hybrid life-cycle assessment approach to carbon footprint analysis</t>
  </si>
  <si>
    <t>Front. Surg.</t>
  </si>
  <si>
    <t>Nizamuddin, Ali A.</t>
  </si>
  <si>
    <t>Declining Risk, Market Liberalization and State-Multinational Bargaining: Japanese Automobile Investments in India, Indonesia and Malaysia</t>
  </si>
  <si>
    <t>Pac. Aff.</t>
  </si>
  <si>
    <t>Zapelloni, Gabriele; Garcia Rellan, Adriana; Bello Bugallo, Pastora M.</t>
  </si>
  <si>
    <t>Sustainable production of marine equipment in a circular economy: deepening in material and energy flows, best available techniques and toxicological impacts</t>
  </si>
  <si>
    <t>Hepper, F; Garralda, ME</t>
  </si>
  <si>
    <t>Psychiatric adjustment to leaving school in adolescents with intellectual disability: a pilot study</t>
  </si>
  <si>
    <t>J. Intell. Disabil. Res.</t>
  </si>
  <si>
    <t>Sheng, Qi; Chen, Qionghai; Gu, Weiwen; Wang, Ruicheng; Gu, Xiaoyu; Liu, Jun; Sun, Tongbing; Chen, Yu; Sun, Jun; Zhang, Sheng</t>
  </si>
  <si>
    <t>The study of curing behavior and thermo-mechanical properties of epoxy adhesives with different anhydrides</t>
  </si>
  <si>
    <t>Polymer</t>
  </si>
  <si>
    <t>Pizarro-Alonso, Amalia; Cimpan, Ciprian; Munnstr, Marie</t>
  </si>
  <si>
    <t>The climate footprint of imports of combustible waste in systems with high shares of district heating and variable renewable energy</t>
  </si>
  <si>
    <t>Fujii, Karin; Koyama, Hiroki; Kuniyoshi, Hisato</t>
  </si>
  <si>
    <t>Role of cell proliferation in strobilation of moon jellyfish Aurelia coerulea</t>
  </si>
  <si>
    <t>Fish. Sci.</t>
  </si>
  <si>
    <t>Tunn, Johanna; Kalt, Tobias; Mueller, Franziska; Simon, Jenny; Hennig, Jesko; Ituen, Imeh; Glatzer, Nina</t>
  </si>
  <si>
    <t>Green hydrogen transitions deepen socioecological risks and extractivist patterns: evidence from 28 prospective exporting countries in the Global South</t>
  </si>
  <si>
    <t>Energy Res. Soc. Sci.</t>
  </si>
  <si>
    <t>Stefany Garcia, Julieth; Morcillo, Jose D.; Manuel Redondo, Johan; Becerra-Fernandez, Mauricio</t>
  </si>
  <si>
    <t>Automobile Technological Transition Scenarios Based on Environmental Drivers</t>
  </si>
  <si>
    <t>Imtiaz, Hafiz Farooq</t>
  </si>
  <si>
    <t>A Framework for Upscaling of Emerging Chemical Processes Based on Thermodynamic Process Modeling and Simulation</t>
  </si>
  <si>
    <t>ChemEngineering</t>
  </si>
  <si>
    <t>Grubert, E.; Zacarias, M.</t>
  </si>
  <si>
    <t>Paradigm shifts for environmental assessment of decarbonizing energy systems: Emerging dominance of embodied impacts and design-oriented decision support needs</t>
  </si>
  <si>
    <t>Said, Zafar; Bellos, Evangelos; Ali, Hafiz Muhammad; Rahman, Saidur; Tzivanidis, Christos</t>
  </si>
  <si>
    <t>Nanofluids, turbulators, and novel working fluids for heat transfer processes and energy applications: Current status and prospective</t>
  </si>
  <si>
    <t>Appl. Therm. Eng.</t>
  </si>
  <si>
    <t>Goh, Bee Hua</t>
  </si>
  <si>
    <t>Designing a whole-life building cost index in Singapore</t>
  </si>
  <si>
    <t>Built Environ. Proj. Asset Manag.</t>
  </si>
  <si>
    <t>Rumayor, Marta; Fernandez-Gonzalez, Javier; Dominguez-Ramos, Antonio; Irabien, Angel</t>
  </si>
  <si>
    <t>Deep Decarbonization of the Cement Sector: A Prospective Environmental Assessment of CO2 Recycling to Methanol</t>
  </si>
  <si>
    <t>Wijayasekera, Sachindra Chamode; Hewage, Kasun; Razi, Faran; Sadiq, Rehan</t>
  </si>
  <si>
    <t>Fueling tomorrow's commute: Current status and prospects of public bus transit fleets powered by sustainable hydrogen</t>
  </si>
  <si>
    <t>Arias, Ana; Torres, Eduardo; Garcia-Zamora, Jose Luis; Pacheco-Aguirre, FranciscoM.; Feijoo, Gumersindo; Moreira, Maria Teresa</t>
  </si>
  <si>
    <t>Environmental prospective of valorizing corn processing effluent to produce ferulic acid grafted chitosan polymer</t>
  </si>
  <si>
    <t>J. Environ. Manage.</t>
  </si>
  <si>
    <t>Cavalett, Otavio; Watanabe, Marcos D. B.; Fleiger, Kristina; Hoenig, Volker; Cherubini, Francesco</t>
  </si>
  <si>
    <t>Sci Rep</t>
  </si>
  <si>
    <t>Thomas, J. -S.; Birat, J. -P.</t>
  </si>
  <si>
    <t>Methodologies to measure the sustainability of materials - focus on recycling aspects</t>
  </si>
  <si>
    <t>Rev. Metall.-Cah. Inf. Techn.</t>
  </si>
  <si>
    <t>Ottoman, GR; Nixon, WB; Lofgren, ST</t>
  </si>
  <si>
    <t>Budgeting for facility maintenance and repair. I: Methods and models</t>
  </si>
  <si>
    <t>J. Manage. Eng.</t>
  </si>
  <si>
    <t>Kizhakkekalam, Vinaya Kizhakkepatt; Chakraborty, Kajal</t>
  </si>
  <si>
    <t>Marine Macroalga-associated Bacillus amyloliquefaciens as Prospective Probiotic</t>
  </si>
  <si>
    <t>J. Aquat. Food Prod. Technol.</t>
  </si>
  <si>
    <t>Dong, Xiaohan; Zhou, Aifen</t>
  </si>
  <si>
    <t>Associations of maternal pre-pregnancy body mass index and gestational weight gain with risk of offspring neurodevelopment at 2 years: A Chinese birth cohort study</t>
  </si>
  <si>
    <t>Front. Pediatr.</t>
  </si>
  <si>
    <t>Bell, Linda G.</t>
  </si>
  <si>
    <t>A Prospective Longitudinal Study of Family From Generation to Generation</t>
  </si>
  <si>
    <t>Fam. J.</t>
  </si>
  <si>
    <t>Tomcala, Ales; Kyselova, Veronika; Schneedorferova, Ivana; Opekarova, Iva; Moos, Martin; Urajova, Petra; Krucinska, Jitka; Obornik, Miroslav</t>
  </si>
  <si>
    <t>Separation and identification of lipids in the photosynthetic cousins of Apicomplexa Chromera velia and Vitrella brassicaformis</t>
  </si>
  <si>
    <t>J. Sep. Sci.</t>
  </si>
  <si>
    <t>Boulay, Anne-Marie; Benini, Lorenzo; Sala, Serenella</t>
  </si>
  <si>
    <t>Marginal and non-marginal approaches in characterization: how context and scale affect the selection of an adequate characterization model. The AWARE model example</t>
  </si>
  <si>
    <t>Porshnov, Dmitry</t>
  </si>
  <si>
    <t>Evolution of pyrolysis and gasification as waste to energy tools for low carbon economy</t>
  </si>
  <si>
    <t>Wiley Interdiscip. Rev. Energy Environ.</t>
  </si>
  <si>
    <t>Xu, Tao; Jiang, Meihui; Mo, Siyu; Wang, Xianhui; Ren, Tianlin; Liu, Zhichen; Wang, Zhicheng; Qiu, Yicheng; Gu, Lingying; Wang, Xu; Mao, Xuhui</t>
  </si>
  <si>
    <t>Mn-Fe Dual-Metal Assemblages on Carbon-Coated Al2O3 Spheres for Catalytic Ozonation Oxidation: Structure, Performance, and Reaction Mechanism</t>
  </si>
  <si>
    <t>Uddin, Md. Koushic; Novembre, Lorenzo; Greco, Antonio; Sannino, Alessandro</t>
  </si>
  <si>
    <t>Polyhydroxyalkanoates, A prospective solution in the textile industry - A review</t>
  </si>
  <si>
    <t>Polym. Degrad. Stabil.</t>
  </si>
  <si>
    <t>Opakhai, Serikzhan; Kuterbekov, Kairat; Zhumadilova, Zhuldyz</t>
  </si>
  <si>
    <t>Hydrogen energy in Kazakhstan: prospects for development and potential</t>
  </si>
  <si>
    <t>Polit. Energ.-Energy Policy J.</t>
  </si>
  <si>
    <t>Ghosh, Subhalakshmi; Debnath, Sukalyani; Hazra, Sudipta; Hartung, Andreas; Thomale, Katja; Schultheis, Martina; Kapkova, Petra; Schurigt, Uta; Moll, Heidrun; Holzgrabe, Ulrike; Hazra, Banasri</t>
  </si>
  <si>
    <t>Valeriana wallichii root extracts and fractions with activity against Leishmania spp</t>
  </si>
  <si>
    <t>Parasitol. Res.</t>
  </si>
  <si>
    <t>Arias-Gaviria, Jessica; Valencia, Veronica; Olaya, Yris; Arango-Aramburo, Santiago</t>
  </si>
  <si>
    <t>Simulating the effect of sustainable buildings and energy efficiency standards on electricity consumption in four cities in Colombia: A system dynamics approach</t>
  </si>
  <si>
    <t>Yang, Qing; Zhou, Hewen; Bartocci, Pietro; Fantozzi, Francesco; Masek, Ondrej; Agblevor, Foster A.; Wei, Zhiyu; Yang, Haiping; Chen, Hanping; Lu, Xi; Chen, Guoqian; Zheng, Chuguang; Nielsen, Chris P.; McElroy, Michael B.</t>
  </si>
  <si>
    <t>Prospective contributions of biomass pyrolysis to China's 2050 carbon reduction and renewable energy goals</t>
  </si>
  <si>
    <t>Filippin, Celina; Ricard, Florencia; Larsen, Silvana Flores; Santamouris, Mattheos</t>
  </si>
  <si>
    <t>Retrospective analysis of the energy consumption of single-family dwellings in central Argentina. Retrofitting and adaptation to the climate change</t>
  </si>
  <si>
    <t>Chan, Yi Herng; Cheah, Kin Wai; How, Bing Shen; Loy, Adrian Chun Minh; Shahbaz, Muhammad; Singh, Haswin Kaur Gurdeep; Yusuf, Nuraini Raman; Shuhaili, Ahmad Fadzil Ahmad; Yusup, Suzana; Ghani, Wan Azlina Wan Abd Karim; Rambli, Jakaria; Kansha, Yasuki; Lam, Hon Loong; Hong, Boon Hooi; Ngan, Sue Lin</t>
  </si>
  <si>
    <t>An overview of biomass thermochemical conversion technologies in Malaysia</t>
  </si>
  <si>
    <t>Macmillan, R</t>
  </si>
  <si>
    <t>Adolescent victimization and income deficits in adulthood: Rethinking the costs of criminal violence from a life-course perspective</t>
  </si>
  <si>
    <t>Criminololgy</t>
  </si>
  <si>
    <t>Hugues, Paul; Assoumou, Edi; Maizi, Nadia</t>
  </si>
  <si>
    <t>Assessing GHG mitigation and associated cost of French biofuel sector: Insights from a TIMES model</t>
  </si>
  <si>
    <t>Shi, Boyang; Dhileepan, Kunjithapatham</t>
  </si>
  <si>
    <t>Life cycle, host specificity and potential impact of a gall-inducing thrips Acaciothrips ebneri, a biological control agent for prickly acacia (Vachellia nilotica subsp. indica) in Australia</t>
  </si>
  <si>
    <t>Biocontrol</t>
  </si>
  <si>
    <t>LEVY, DN; REFAELI, Y; MACGREGOR, RR; WEINER, DB</t>
  </si>
  <si>
    <t>SERUM VPR REGULATES PRODUCTIVE INFECTION AND LATENCY OF HUMAN-IMMUNODEFICIENCY-VIRUS TYPE-1</t>
  </si>
  <si>
    <t>Proc. Natl. Acad. Sci. U. S. A.</t>
  </si>
  <si>
    <t>Kret-Grzeskowiak, Aleksandra; Bruhn, Simon; Jensen, Arthur Arnt Vestergaard; Birkved, Morten</t>
  </si>
  <si>
    <t>Quantifying the environmental impact of structural timber across multiple future lifecycles</t>
  </si>
  <si>
    <t>DISCOV. APPL. SCI.</t>
  </si>
  <si>
    <t>Tao, Yanqiu; You, Siming; Zhu, Jesse; You, Fengqi</t>
  </si>
  <si>
    <t>Energy, climate, and environmental sustainability of trend toward occupational-dependent hybrid work: Overview, research challenges, and outlook</t>
  </si>
  <si>
    <t>Jacups, Susan P.; Whelan, Peter I.; Harley, David</t>
  </si>
  <si>
    <t>Arbovirus Models to Provide Practical Management Tools for Mosquito Control and Disease Prevention in the Northern Territory, Australia</t>
  </si>
  <si>
    <t>J. Med. Entomol.</t>
  </si>
  <si>
    <t>Elango, Indhumathi; Henderson, Luke C.; Arumugam, Vellayaraj</t>
  </si>
  <si>
    <t>Recycled milled fibres in sustainable composite materials: A comprehensive review and future prospects</t>
  </si>
  <si>
    <t>J. Reinf. Plast. Compos.</t>
  </si>
  <si>
    <t>Akbar, Arslan; Liew, K. M.</t>
  </si>
  <si>
    <t>Assessing recycling potential of carbon fiber reinforced plastic waste in production of eco-efficient cement-based materials</t>
  </si>
  <si>
    <t>Shi, Daquan; Xia, Yan; Zhao, Yading; Wang, Jian; Ma, Xiaobing; Liu, Minghao; Yu, Kunyang; Zhang, Junyi; Tian, Weichen</t>
  </si>
  <si>
    <t>Valorization of steel slag into sustainable high-performance radiation shielding concrete</t>
  </si>
  <si>
    <t>Thomas, Marielle; Pasquet, Alain; Aubin, Joel; Nahon, Sarah; Lecocq, Thomas</t>
  </si>
  <si>
    <t>When more is more: taking advantage of species diversity to move towards sustainable aquaculture</t>
  </si>
  <si>
    <t>Biol. Rev.</t>
  </si>
  <si>
    <t>Das, Aniruddha</t>
  </si>
  <si>
    <t>Are Men's Religious Ties Hormonally Regulated?</t>
  </si>
  <si>
    <t>Adapt. Hum. Behav. Physiol.</t>
  </si>
  <si>
    <t>Steins, Justus J.; Volk, Rebekka; Schultmann, Frank</t>
  </si>
  <si>
    <t>Modelling and predicting the generation of post-demolition autoclaved aerated concrete (AAC) volumes in Germany until 2050</t>
  </si>
  <si>
    <t>Joveniaux, Aurelie; Legrand, Marine; Esculier, Fabien; De Gouvello, Bernard</t>
  </si>
  <si>
    <t>Towards the development of source separation and valorization of human excreta? Emerging dynamics and prospects in France</t>
  </si>
  <si>
    <t>Front. Environ. Sci.</t>
  </si>
  <si>
    <t>Cravioto, Jordi; Yamasue, Eiji; Nguyen, Duc-Quang; Huy, Tran-Duc</t>
  </si>
  <si>
    <t>Benefits of a regional co-processing scheme: The case of steel/iron and cement industries in Vietnam, Laos, and Cambodia</t>
  </si>
  <si>
    <t>Revisiting the role of steam methane reforming with CO2 capture and storage for long-term hydrogen production</t>
  </si>
  <si>
    <t>Lefeuvre, Anaele; Garnier, Sebastien; Jacquemin, Leslie; Pillain, Baptiste; Sonnemann, Guido</t>
  </si>
  <si>
    <t>Anticipating in-use stocks of carbon fibre reinforced polymers and related waste generated by the wind power sector until 2050</t>
  </si>
  <si>
    <t>Marino, Yobana A.; Bayman, Paul; Sabat, Alberto M.</t>
  </si>
  <si>
    <t>Demography and perturbation analyses of the coffee berry borer Hypothenemus hampei (Coleoptera: Curculionidae): Implications for management</t>
  </si>
  <si>
    <t>PLoS One</t>
  </si>
  <si>
    <t>Bonomo, Pierluigi; Parolini, Fabio; Corti, Paolo; Frontini, Francesco; Bellenda, Giovanni; Caccivio, Mauro</t>
  </si>
  <si>
    <t>Impact resistance of BIPV systems: New testing procedure for performance assessment of multifunctional products</t>
  </si>
  <si>
    <t>Energy Sci. Eng.</t>
  </si>
  <si>
    <t>Clarke, Christopher; Williams, Ian D.; Turner, David A.</t>
  </si>
  <si>
    <t>Evaluating the carbon footprint of WEEE management in the UK</t>
  </si>
  <si>
    <t>Adebayo, Folasade A.; Itkonen, Suvi T.; Ohman, Taina; Kiely, Mairead; Cashman, Kevin D.; Lamberg-Allardt, Christel</t>
  </si>
  <si>
    <t>Safety of Vitamin D Food Fortification and Supplementation: Evidence from Randomized Controlled Trials and Observational Studies</t>
  </si>
  <si>
    <t>Foods</t>
  </si>
  <si>
    <t>Kosmol, Linda; Maiwald, Martin; Pieper, Christoph; Plotz, Joscha; Schmidt, Thorsten</t>
  </si>
  <si>
    <t>An indicator-based method supporting assessment and decision-making of potential by-product exchanges in industrial symbiosis</t>
  </si>
  <si>
    <t>Bamorovat, Mehdi; Sharifi, Iraj; Aflatoonian, Mohammad Reza; Salarkia, Ehsan; Afshari, Setareh Agha Kuchak; Pourkhosravani, Mohsen; Karamoozian, Ali; Khosravi, Ahmad; Aflatoonian, Behnaz; Sharifi, Fatemeh; Divsalar, Hassan; Amiri, Behzad; Shirzadi, Mohammad Reza</t>
  </si>
  <si>
    <t>A prospective longitudinal study on the elimination trend of rural cutaneous leishmaniasis in southeastern Iran: Climate change, population displacement, and agricultural transition from 1991 to 2021</t>
  </si>
  <si>
    <t>Tavakolan, Mehdi; Mostafazadeh, Farzad; Eirdmousa, Saeed Jalilzadeh; Safari, Amir; Mirzaei, Kaveh</t>
  </si>
  <si>
    <t>A parallel computing simulation-based multi-objective optimization framework for economic analysis of building energy retrofit: A case study in Iran</t>
  </si>
  <si>
    <t>Ajayebi, Atta; Hopkinson, Peter; Zhou, Kan; Lam, Dennis; Chen, Han-Mei; Wang, Yong</t>
  </si>
  <si>
    <t>Spatiotemporal model to quantify stocks of building structural products for a prospective circular economy</t>
  </si>
  <si>
    <t>Darwin Coello-Peralta, Roberto; Ernesto Martinez-Cepeda, Galo; Pinela-Castro, Douglas; Omar Reyes-Echeverria, Enrique; Xavier Rodriguez-Burnham, Enrique; Salazar Mazamba, Maria de Lourdes; Pazmino-Gomez, Betty; Ramirez-Tigrero, Antonella; Bernstein, Manuel; Cedeno-Reyes, Pedro</t>
  </si>
  <si>
    <t>Presence of Hymenolepis nana and diminuta in rodents of the Las Pinas citadel, in Milagro, Ecuador, and its risk for public health</t>
  </si>
  <si>
    <t>Rev. Mex. Cienc. Pecu.</t>
  </si>
  <si>
    <t>Vollmuth, Patrick; Wohlschlager, Daniela; Wasmeier, Louisa; Kern, Timo</t>
  </si>
  <si>
    <t>Prospects of electric vehicle V2G multi-use: Profitability and GHG emissions for use case combinations of smart and bidirectional charging today and 2030</t>
  </si>
  <si>
    <t>Dammann, Sven; Elle, Morten</t>
  </si>
  <si>
    <t>Environmental indicators: establishing a common language for green building</t>
  </si>
  <si>
    <t>Build. Res. Informat.</t>
  </si>
  <si>
    <t>Ryan, Kelly; Bucci, Lisa; Delgado, Javier; Atlas, Robert; Murillo, Shirley</t>
  </si>
  <si>
    <t>Impact of Gulfstream-IV Dropsondes on Tropical Cyclone Prediction in a Regional OSSE System</t>
  </si>
  <si>
    <t>Mon. Weather Rev.</t>
  </si>
  <si>
    <t>Pedneault, Julien; Majeau-Bettez, Guillaume; Margni, Manuele</t>
  </si>
  <si>
    <t>How much sorting is required for a circular low carbon aluminum economy?</t>
  </si>
  <si>
    <t>Chen, Ching-Yen; Chen, Jian-Hong; Ree, Shao-Chun; Chang, Chun-Wei; Yu, Sheng-Hsiang</t>
  </si>
  <si>
    <t>Associations between estradiol and testosterone and depressive symptom scores of the Patient Health Questionnaire-9 in ovariectomized women: a population-based analysis of NHANES data</t>
  </si>
  <si>
    <t>Ann. Gen. Psychiatr.</t>
  </si>
  <si>
    <t>Costa, Evaldo; Seixas, Julia; Costa, Gustavo; Turrentine, Thomas</t>
  </si>
  <si>
    <t>Interplay between ethanol and electric vehicles as low carbon mobility options for passengers in the municipality of SAo Paulo</t>
  </si>
  <si>
    <t>Int. J. Sustain. Transp.</t>
  </si>
  <si>
    <t>Herbes, Carsten; Halbherr, Verena; Braun, Lorenz</t>
  </si>
  <si>
    <t>Factors influencing prices for heat from biogas plants</t>
  </si>
  <si>
    <t>Nabera, Abhinandan; Martin, Antonio Jose; Istrate, Robert; Perez-Ramirez, Javier; Guillen-Gosalbez, Gonzalo</t>
  </si>
  <si>
    <t>Integrating climate policies in the sustainability analysis of green chemicals</t>
  </si>
  <si>
    <t>Strid, Anna; Johansson, Ingegerd; Bianchi, Marta; Sonesson, Ulf; Hallstrom, Elinor; Lindahl, Bernt; Winkvist, Anna</t>
  </si>
  <si>
    <t>Diets benefiting health and climate relate to longevity in northern Sweden</t>
  </si>
  <si>
    <t>Am. J. Clin. Nutr.</t>
  </si>
  <si>
    <t>Mullins, JW</t>
  </si>
  <si>
    <t>Early growth decisions of entrepreneurs: The influence of competency and prior performance under changing market conditions</t>
  </si>
  <si>
    <t>J. Bus. Ventur.</t>
  </si>
  <si>
    <t>Colizzi, Chiara; Harbers, Marjolein C.; Vellinga, Reina E.; Verschuren, W. M. Monique; Boer, Jolanda M. A.; Biesbroek, Sander; Temme, Elisabeth H. M.; van der Schouw, Yvonne T.</t>
  </si>
  <si>
    <t>Adherence to the EAT-Lancet Healthy Reference Diet in Relation to Risk of Cardiovascular Events and Environmental Impact: Results From the EPIC-NL Cohort</t>
  </si>
  <si>
    <t>J. Am. Heart Assoc.</t>
  </si>
  <si>
    <t>Ryan, Alexandra; Uppal, Meenakshi; Cunning, Imelda; Buckley, Claire M.</t>
  </si>
  <si>
    <t>A prospective audit of the impact of additional staff on the care of diabetic patients in a community podiatry service</t>
  </si>
  <si>
    <t>Diabet. Foot Ankle</t>
  </si>
  <si>
    <t>Bordonaba Juste, Victoria; Lucia-Palacios, Laura; Polo-Redondo, Yolanda</t>
  </si>
  <si>
    <t>Franchise firm entry time influence on long-term survival</t>
  </si>
  <si>
    <t>Int. J. Retail Distrib. Manag.</t>
  </si>
  <si>
    <t>Tan, Li-Juan; Shin, Sangah</t>
  </si>
  <si>
    <t>Low Greenhouse Gas Emission Self-Selective Diets and Risk of Metabolic Syndrome in Adults 40 and Older: A Prospective Cohort Study in South Korea</t>
  </si>
  <si>
    <t>Environ. Health Perspect.</t>
  </si>
  <si>
    <t>Ockleford, Colin; Adriaanse, Paulien; Berny, Philippe; Brock, Theodorus; Duquesne, Sabine; Grilli, Sandro; Hernandez-Jerez, Antonio F.; Bennekou, Susanne Hougaard; Klein, Michael; Kuhl, Thomas; Laskowski, Ryszard; Machera, Kyriaki; Pelkonen, Olavi; Pieper, Silvia; Smith, Robert H.; Stemmer, Michael; Sundh, Ingvar; Tiktak, Aaldrik; Topping, Christopher J.; Wolterink, Gerrit; Cedergreen, Nina; Charles, Sandrine; Focks, Andreas; Reed, Melissa; Arena, Maria; Ippolito, Alessio; Byers, Harry; Teodorovic, Ivana</t>
  </si>
  <si>
    <t>Scientific Opinion on the state of the art of Toxicokinetic/Toxicodynamic (TKTD) effect models for regulatory risk assessment of pesticides for aquatic organisms</t>
  </si>
  <si>
    <t>EFSA J.</t>
  </si>
  <si>
    <t>Mankins, John C.</t>
  </si>
  <si>
    <t>Technology readiness assessments: A retrospective</t>
  </si>
  <si>
    <t>Acta Astronaut.</t>
  </si>
  <si>
    <t>Tiwari, Rahul; Mishra, Rahul; Choubey, Akansha; Kumar, Sunil; Atabani, A. E.; Badruddin, Irfan Anjum; Khan, T. M. Yunus</t>
  </si>
  <si>
    <t>Environmental and economic issues for renewable production of bio-jet fuel: A global prospective</t>
  </si>
  <si>
    <t>Tukker, Arnold; Eder, Peter; Suh, Sangwon</t>
  </si>
  <si>
    <t>Environmental impacts of products - Policy relevant information and data challenges</t>
  </si>
  <si>
    <t>Salvador-Carulla, Luis; Martinez-Leal, Rafael; Poole, Miriam; Salinas-Perez, Jose A.; Tamarit, Javier; Garcia-Ibanez, Jose; Almenara-Barrios, Jose; Alvarez-Galvez, Javier</t>
  </si>
  <si>
    <t>The Mental Health Care Gap in Intellectual Disabilities in Spain: Impact Analysis and Knowledge-to-Action Plan</t>
  </si>
  <si>
    <t>J. Ment. Health Policy Econ.</t>
  </si>
  <si>
    <t>Rachel, Lukasz; Summers, Lawrence H.</t>
  </si>
  <si>
    <t>On Secular Stagnation in the Industrialized World</t>
  </si>
  <si>
    <t>Brook. Pap. Econ. Act.</t>
  </si>
  <si>
    <t>Li, Yan; Wang, Jiangfeng; Deng, Bohao; Liu, Bin; Zhang, Lei; Zhao, Pan</t>
  </si>
  <si>
    <t>Emission reduction analysis of China's building operations from provincial perspective: Factor decomposition and peak prediction</t>
  </si>
  <si>
    <t>Carauta, Marcelo; Grovermann, Christian; Heidenreich, Anja; Berger, Thomas</t>
  </si>
  <si>
    <t>How eco-efficient are crop farms in the Southern Amazon region? Insights from combining agent-based simulations with robust order-m eco-efficiency estimation</t>
  </si>
  <si>
    <t>Sajn, Robert; Alijagic, Jasminka; Ristovic, Ivica</t>
  </si>
  <si>
    <t>Secondary Deposits as a Potential REEs Source in South-Eastern Europe</t>
  </si>
  <si>
    <t>Minerals</t>
  </si>
  <si>
    <t>Sarajcev, Petar; Jakus, Damir; Vasilj, Josip</t>
  </si>
  <si>
    <t>Optimal scheduling of power transformers preventive maintenance with Bayesian statistical learning and influence diagrams</t>
  </si>
  <si>
    <t>Guetterman, Timothy C.; Fetters, Michael D.; Mawocha, Samkeliso; Legocki, Laurie J.; Barsan, William G.; Lewis, Roger J.; Berry, Donald A.; Meurer, William J.</t>
  </si>
  <si>
    <t>The life cycles of six multi-center adaptive clinical trials focused on neurological emergencies developed for the Advancing Regulatory Science initiative of the National Institutes of Health and US Food and Drug Administration: Case studies from the Adaptive Designs Accelerating Promising Treatments Into Trials Project</t>
  </si>
  <si>
    <t>SAGE Open Med.</t>
  </si>
  <si>
    <t>Tristan, Carolina; Fallanza, Marcos; Ibanez, Raquel; Ortiz, Inmaculada</t>
  </si>
  <si>
    <t>Reverse Electrodialysis: Potential Reduction in Energy and Emissions of Desalination</t>
  </si>
  <si>
    <t>Massara, Paraskevi; Spiegel-Feld, Carolyn; Hamilton, Jill; Maguire, Jonathon L.; Birken, Catherine; Bandsma, Robert; Comelli, Elena M.</t>
  </si>
  <si>
    <t>Association between gut MIcrobiota, GROWth and Diet in peripubertal children from the TARGet Kids! cohort (The MiGrowD) study: protocol for studying gut microbiota at a community-based primary healthcare setting</t>
  </si>
  <si>
    <t>BMJ Open</t>
  </si>
  <si>
    <t>de Carvalho, Ariovaldo Lopes; Antunes, Carlos Henggeler; Freire, Fausto</t>
  </si>
  <si>
    <t>Economic-energy-environment analysis of prospective sugarcane bioethanol production in Brazil</t>
  </si>
  <si>
    <t>Ribas Werlang, Isabel Cristina; Bernardi, Juliana Rombaldi; Nunes, Marina; Marcelino, Thiago Beltram; Bosa, Vera Lucia; Michalowski, Mariana Bohns; da Silva, Clecio Homrich; Goldani, Marcelo Zubaran</t>
  </si>
  <si>
    <t>Impact of Perinatal Different Intrauterine Environments on Child Growth and Development: Planning and Baseline Data for a Cohort Study</t>
  </si>
  <si>
    <t>JMIR RES. Protoc.</t>
  </si>
  <si>
    <t>Benjamin, Ernest; Bassily-Marcus, Adel M.; Babu, Elizabeth; Silver, Lester; Mann, Michael L.</t>
  </si>
  <si>
    <t>Principles and Practice of Disaster Relief: Lessons From Haiti</t>
  </si>
  <si>
    <t>Mt. Sinai J. Med.</t>
  </si>
  <si>
    <t>Lari, Giacomo M.; Pastore, Giorgio; Haus, Moritz; Ding, Yiyu; Papadokonstantakis, Stavros; Mondelli, Cecilia; Perez-Ramirez, Javier</t>
  </si>
  <si>
    <t>Environmental and economical perspectives of a glycerol biorefinery</t>
  </si>
  <si>
    <t>Ballal, Vedant; Cavalett, Otavio; Cherubini, Francesco; Watanabe, Marcos Djun Barbosa</t>
  </si>
  <si>
    <t>Gulino, Michelangelo S.; Fiorentino, Anita; Vangi, Dario</t>
  </si>
  <si>
    <t>Prospective and retrospective performance assessment of Advanced Driver Assistance Systems in imminent collision scenarios: the CMI-Vr approach</t>
  </si>
  <si>
    <t>Eur. Transp. Res. Rev.</t>
  </si>
  <si>
    <t>Tee, Kong Fah; Ekpiwhre, Ejiroghene</t>
  </si>
  <si>
    <t>Strategic cost modelling and optimisation for highway asset maintenance</t>
  </si>
  <si>
    <t>J. Qual. Maint. Eng.</t>
  </si>
  <si>
    <t>Long, Wuyan; Bao, Zhikang; Chen, Ke; Ng, S. Thomas; Wuni, Ibrahim Yahaya</t>
  </si>
  <si>
    <t>Developing an integrative framework for digital twin applications in the building construction industry: A systematic literature review</t>
  </si>
  <si>
    <t>Adv. Eng. Inform.</t>
  </si>
  <si>
    <t>Wu, Yankai; Fu, Kailiang; Feng, Xuran; Wang, Yuzhao; Li, Ling; Gao, Duo; Geng, Zuojun</t>
  </si>
  <si>
    <t>Differential Alterations in Topology Property of Resting State Networks Associated With Mental Health and Childhood Trauma</t>
  </si>
  <si>
    <t>Altern. Ther. Health Med.</t>
  </si>
  <si>
    <t>Knapp, David; Lis, Maciej; Lee, Jinkook; Phillips, Drystan</t>
  </si>
  <si>
    <t>Evaluating alternative approaches for predicting pension benefits and incentives</t>
  </si>
  <si>
    <t>J. Pension Econ. Financ.</t>
  </si>
  <si>
    <t>Harish, A. S.; Malathy, C.</t>
  </si>
  <si>
    <t>Customer Segment Prediction on Retail Transactional Data Using K-Means and Markov Model</t>
  </si>
  <si>
    <t>Intell. Autom. Soft Comput.</t>
  </si>
  <si>
    <t>Dong, Xuesi; Du, Lingbin; Luo, Zilin; Xu, Yongjie; Wang, Chenran; Wang, Fei; Cao, Wei; Zhao, Liang; Zheng, Yadi; Zhu, Hongting; Xia, Changfa; Li, Jiang; Du, Mulong; Hang, Dong; Ren, Jiansong; Shi, Jufang; Shen, Hongbing; Chen, Wanqing; Li, Ni; He, Jie</t>
  </si>
  <si>
    <t>Combining fecal immunochemical testing and questionnaire-based risk assessment in selecting participants for colonoscopy screening in the Chinese National Colorectal Cancer Screening Programs: A population-based cohort study</t>
  </si>
  <si>
    <t>PLos Med.</t>
  </si>
  <si>
    <t>Giles, Erin D.; Jindal, Sonali; Wellberg, Elizabeth A.; Schedin, Troy; Anderson, Steven M.; Thor, Ann D.; Edwards, Dean P.; MacLean, Paul S.; Schedin, Pepper</t>
  </si>
  <si>
    <t>Metformin inhibits stromal aromatase expression and tumor progression in a rodent model of postmenopausal breast cancer</t>
  </si>
  <si>
    <t>Breast Cancer Res.</t>
  </si>
  <si>
    <t>Labib, P. L.; Ford, B. S. M.; Winfield, M.; Douie, W. J.; Kanwar, A.; Sanders, G.</t>
  </si>
  <si>
    <t>Revising a laparoscopic appendicectomy set to reduce reliance on disposable surgical instruments: supporting the transition to sustainable surgical practice</t>
  </si>
  <si>
    <t>Ann. R. Coll. Surg. Engl.</t>
  </si>
  <si>
    <t>Huck, Volker; Schneider, Matthias F.; Gorzelanny, Christian; Schneider, Stefan W.</t>
  </si>
  <si>
    <t>The various states of von Willebrand factor and their function in physiology and pathophysiology</t>
  </si>
  <si>
    <t>Thromb. Haemost.</t>
  </si>
  <si>
    <t>Banerjee, Anjan K.; Okun, Sally; Edwards, I. Ralph; Wicks, Paul; Smith, Meredith Y.; Mayall, Stephen J.; Flamion, Bruno; Cleeland, Charles; Basch, Ethan</t>
  </si>
  <si>
    <t>Patient-Reported Outcome Measures in Safety Event Reporting: PROSPER Consortium Guidance</t>
  </si>
  <si>
    <t>Drug Saf.</t>
  </si>
  <si>
    <t>Spinhoven, Philip; de Rooij, Mark; Heiser, Willem; Smit, Jan H.; Penninx, Brenda W. J. H.</t>
  </si>
  <si>
    <t>Personality and Changes in Comorbidity Patterns Among Anxiety and Depressive Disorders</t>
  </si>
  <si>
    <t>J. Abnorm. Psychol.</t>
  </si>
  <si>
    <t>Tandon, Anika K.; Velez, Federico G.; Isenberg, Sherwin J.; Demer, Joseph L.; Pineles, Stacy L.</t>
  </si>
  <si>
    <t>Binocular inhibition in strabismic patients is associated with diminished quality of life</t>
  </si>
  <si>
    <t>J. AAPOS</t>
  </si>
  <si>
    <t>Crum, Rosa M.; Green, Kerry M.; Stuart, Elizabeth A.; La Flair, Lareina N.; Kealhofer, Marc; Young, Andrea S.; Krawczyk, Noa; Tormohlen, Kayla N.; Storr, Carla L.; Alvanzo, Anika A. H.; Mojtabai, Ramin; Pacek, Lauren R.; Cullen, Bernadette A.; Reboussin, Beth A.</t>
  </si>
  <si>
    <t>Transitions through stages of alcohol involvement: The potential role of mood disorders</t>
  </si>
  <si>
    <t>Drug Alcohol Depend.</t>
  </si>
  <si>
    <t>Naja, Farah; Abdulmalik, Mariam; Ayoub, Jennifer; Mahmoud, Amira; Nasreddine, Lara</t>
  </si>
  <si>
    <t>Dietary patterns and their associations with postpartum weight retention: results of the MINA cohort study</t>
  </si>
  <si>
    <t>Eur. J. Nutr.</t>
  </si>
  <si>
    <t>Lee, Jennifer Jooha; Park, Young Jae; Park, Misun; Yim, Hyeon Woo; Park, Sung Hwan; Kwok, Seung-Ki</t>
  </si>
  <si>
    <t>Longitudinal analysis of symptom-based clustering in patients with primary Sjogren's syndrome: a prospective cohort study with a 5-year follow-up period</t>
  </si>
  <si>
    <t>J. Transl. Med.</t>
  </si>
  <si>
    <t>Hollick, Rosemary J.; Black, Alison J.; Reid, David M.; McKee, Lorna</t>
  </si>
  <si>
    <t>Shaping innovation and coordination of healthcare delivery across boundaries and borders A comparative case study</t>
  </si>
  <si>
    <t>J. Health Organ. Manag.</t>
  </si>
  <si>
    <t>Lacey, Rebecca E.; Pereira, Snehal M. Pinto; Li, Leah; Danese, Andrea</t>
  </si>
  <si>
    <t>Adverse childhood experiences and adult inflammation: Single adversity, cumulative risk and latent class approaches</t>
  </si>
  <si>
    <t>Brain Behav. Immun.</t>
  </si>
  <si>
    <t>Ziemann, Saskia; Rat-Fischer, Christoph; Mueller, Daniel B.; Schebek, Liselotte; Peters, Jens; Weil, Marcel</t>
  </si>
  <si>
    <t>A critical analysis of material demand and recycling options of electric vehicles in sustainable cities</t>
  </si>
  <si>
    <t>Guo, Yunmei; Zhou, Ming; Yan, Xin; Liu, Ying; Wang, Lianhong</t>
  </si>
  <si>
    <t>Latent class analysis and longitudinal development trajectory study of psychological distress in patients with stroke: a study protocol</t>
  </si>
  <si>
    <t>Front. Psychiatry</t>
  </si>
  <si>
    <t>Eastman, Andrea Lane; Putnam-Hornstein, Emily</t>
  </si>
  <si>
    <t>An examination of child protective service involvement among children born to mothers in foster care</t>
  </si>
  <si>
    <t>Child Abuse Negl.</t>
  </si>
  <si>
    <t>Feldhaus, Britta; Weisschuh, Nicole; Nasser, Fadi; Den Hollander, Anneke I.; Cremers, Frans P. M.; Zrenner, Eberhart; Kohl, Susanne; Zobor, Ditta</t>
  </si>
  <si>
    <t>CEP290 Mutation Spectrum and Delineation of the Associated Phenotype in a Large German Cohort: A Monocentric Study</t>
  </si>
  <si>
    <t>Am. J. Ophthalmol.</t>
  </si>
  <si>
    <t>Coughlin, Lara N.; Ilgen, Mark A.; Jannausch, Mary; Walton, Maureen A.; Bohnert, Kipling M.</t>
  </si>
  <si>
    <t>Progression of cannabis withdrawal symptoms in people using medical cannabis for chronic pain</t>
  </si>
  <si>
    <t>Addiction</t>
  </si>
  <si>
    <t>Bryan, Amanda E. B.; Norris, Jeanette; Abdallah, Devon Alisa; Stappenbeck, Cynthia A.; Morrison, Diane M.; Davis, Kelly C.; George, William H.; Danube, Cinnamon L.; Zawacki, Tina</t>
  </si>
  <si>
    <t>Longitudinal Change in Women's Sexual Victimization Experiences as a Function of Alcohol Consumption and Sexual Victimization History: A Latent Transition Analysis</t>
  </si>
  <si>
    <t>Psychol. Violence</t>
  </si>
  <si>
    <t>Sinha, Pratik; Delucchi, Kevin L.; McAuley, Daniel F.; O'Kane, Cecilia M.; Matthay, Michael A.; Calfee, Carolyn S.</t>
  </si>
  <si>
    <t>Development and validation of parsimonious algorithms to classify acute respiratory distress syndrome phenotypes: a secondary analysis of randomised controlled trials</t>
  </si>
  <si>
    <t>Lancet Resp. Med.</t>
  </si>
  <si>
    <t>Gjersing, Linn; Bretteville-Jensen, Anne Line</t>
  </si>
  <si>
    <t>Patterns of substance use and mortality risk in a cohort of 'hard-to-reach' polysubstance users</t>
  </si>
  <si>
    <t>Graham, Ian D.; Kothari, Anita; McCutcheon, Chris</t>
  </si>
  <si>
    <t>Moving knowledge into action for more effective practice, programmes and policy: protocol for a research programme on integrated knowledge translation</t>
  </si>
  <si>
    <t>Implement. Sci.</t>
  </si>
  <si>
    <t>Chapman, M. John</t>
  </si>
  <si>
    <t>Role of HDL-C as a cardiovascular risk factor: clinical relevance of pitavastatin</t>
  </si>
  <si>
    <t>Clin. Lipidol.</t>
  </si>
  <si>
    <t>Rafiq, Rezwana; McNally, Michael G.</t>
  </si>
  <si>
    <t>Heterogeneity in Activity-travel Patterns of Public Transit Users: An Application of Latent Class Analysis</t>
  </si>
  <si>
    <t>Transp. Res. Pt. A-Policy Pract.</t>
  </si>
  <si>
    <t>Di Fusco, Manuela; Cappelleri, Joseph C.; Yehoshua, Alon; Craig, Kelly J. Thomas; Alvarez, Mary B.; Allen, Kristen E.; Porter, Thomas M.; Lopez, Santiago M. C.; Puzniak, Laura; Sun, Xiaowu</t>
  </si>
  <si>
    <t>Associations between symptom-based long COVID clusters and long-term quality of life, work and daily activities among individuals testing positive for SARS-CoV-2 at a national retail pharmacy</t>
  </si>
  <si>
    <t>J. Patient-Rep. Outcomes</t>
  </si>
  <si>
    <t>Martin, Chantel L.; Siega-Riz, Anna Maria; Sotres-Alvarez, Daniela; Robinson, Whitney R.; Daniels, Julie L.; Perrin, Eliana M.; Stuebe, Alison M.</t>
  </si>
  <si>
    <t>Maternal Dietary Patterns during Pregnancy Are Associated with Child Growth in the First 3 Years of Life</t>
  </si>
  <si>
    <t>J. Nutr.</t>
  </si>
  <si>
    <t>Estrada, Mario Arturo Ruiz; Koutronas, Evangelos</t>
  </si>
  <si>
    <t>An introduction to pensionomics</t>
  </si>
  <si>
    <t>J. Econ. Financ. Adm. Sci.</t>
  </si>
  <si>
    <t>Roos, Anders; Hoen, Hans-Fredrik; Aguilar, Francisco X.; Haapala, Antti; Hurmekoski, Elias; Jussila, Jaakko; Lahtinen, Katja; Mark-Herbert, Cecilia; Nord, Tomas; Toivonen, Ritva; Toppinen, Anne</t>
  </si>
  <si>
    <t>Impact of prospective residents' dwelling requirements on preferences for house construction materials</t>
  </si>
  <si>
    <t>Wood Mater. Sci. Eng.</t>
  </si>
  <si>
    <t>dos Muchangos, Leticia Sarmento; Tokai, Akihiro</t>
  </si>
  <si>
    <t>Greenhouse gas emission analysis of upgrading from an open dump to a semi-aerobic landfill in Mozambique - the case of Hulene dumpsite</t>
  </si>
  <si>
    <t>Sci. Afr.</t>
  </si>
  <si>
    <t>Nock, Matthew K.; Kazdin, Alan E.; Hiripi, Eva; Kessler, Ronald C.</t>
  </si>
  <si>
    <t>Prevalence, subtypes, and correlates of DSM-IV conduct disorder in the national comorbidity survey replication</t>
  </si>
  <si>
    <t>Psychol. Med.</t>
  </si>
  <si>
    <t>Carpenter, JP; Tomaszewski, JE</t>
  </si>
  <si>
    <t>Human saphenous vein allograft bypass grafts: Immune response</t>
  </si>
  <si>
    <t>J. Vasc. Surg.</t>
  </si>
  <si>
    <t>Taylor, Kyla W.; Troester, Melissa A.; Herring, Amy H.; Engel, Lawrence S.; Nichols, Hazel B.; Sandler, Dale P.; Baird, Donna D.</t>
  </si>
  <si>
    <t>Associations between Personal Care Product Use Patterns and Breast Cancer Risk among White and Black Women in the Sister Study</t>
  </si>
  <si>
    <t>TALLINI, G; WEST, AB; BUCKLEY, PJ</t>
  </si>
  <si>
    <t>DIAGNOSIS OF GASTROINTESTINAL T-CELL LYMPHOMAS IN ROUTINELY PROCESSED TISSUES</t>
  </si>
  <si>
    <t>J. Clin. Gastroenterol.</t>
  </si>
  <si>
    <t>Bhattacharya, K.; Farwell, K.; Huang, M.; Kempuraj, D.; Donelan, J.; Papaliodis, D.; Vasiadi, M.; Theoharides, T. C.</t>
  </si>
  <si>
    <t>Mast cell deficient W/Wv mice have lower serum IL-6 and less cardiac tissue necrosis than their normal littermates following myocardial ischemia-reperfusion</t>
  </si>
  <si>
    <t>Int. J. Immunopathol. Pharmacol.</t>
  </si>
  <si>
    <t>Laru, J.; Nedelec, R.; Koivuaho, E.; Ojaniemi, M.; Jarvelin, M-R; Tapanainen, J. S.; Franks, S.; Tolvanen, M.; Piltonen, T. T.; Sebert, S.; Morin-Papunen, L.</t>
  </si>
  <si>
    <t>BMI in childhood and adolescence is associated with impaired reproductive function-a population-based cohort study from birth to age 50 years</t>
  </si>
  <si>
    <t>Hum. Reprod.</t>
  </si>
  <si>
    <t>Peng, Shitong; Li, Tao; Wang, Yue; Liu, Zhichao; Tan, George Z.; Zhang, Hongchao</t>
  </si>
  <si>
    <t>J. Manuf. Sci. Eng.-Trans. ASME</t>
  </si>
  <si>
    <t>Wickerts, Sanna; Arvidsson, Rickard; Nordelof, Anders; Svanstrom, Magdalena; Johansson, Patrik</t>
  </si>
  <si>
    <t>Kaddoura, Mohamad; Tivander, Johan; Molander, Sverker</t>
  </si>
  <si>
    <t>Life Cycle Assessment of Electricity Generation from an Array of Subsea Tidal Kite Prototypes</t>
  </si>
  <si>
    <t>Hammond, Jim; Shackley, Simon; Sohi, Saran; Brownsort, Peter</t>
  </si>
  <si>
    <t>Prospective life cycle carbon abatement for pyrolysis biochar systems in the UK</t>
  </si>
  <si>
    <t>Koroneos, Christopher; Stylos, Nikolaos</t>
  </si>
  <si>
    <t>Exergetic life cycle assessment of a grid-connected, polycrystalline silicon photovoltaic system</t>
  </si>
  <si>
    <t>Arvidsson, Rickard; Tillman, Anne-Marie; Sanden, Bjorn A.; Janssen, Matty; Nordelof, Anders; Kushnir, Duncan; Molander, Sverker</t>
  </si>
  <si>
    <t>Sathre, Roger; Scown, Corinne D.; Morrow, William R., III; Stevens, John C.; Sharp, Ian D.; Ager, Joel W., III; Walczak, Karl; Houle, Frances A.; Greenblatt, Jeffery B.</t>
  </si>
  <si>
    <t>Life-cycle net energy assessment of large-scale hydrogen production via photoelectrochemical water splitting</t>
  </si>
  <si>
    <t>Prospective life cycle assessment of sodium-ion batteries made from abundant elements</t>
  </si>
  <si>
    <t>Sathre, Roger; Masanet, Eric</t>
  </si>
  <si>
    <t>Prospective life-cycle modeling of a carbon capture and storage system using metal-organic frameworks for CO2 capture</t>
  </si>
  <si>
    <t>RSC Adv.</t>
  </si>
  <si>
    <t>Hoo, Do Yee; Tang, Siah Ying; Kikuchi, Yasunori; Ng, Boon-Junn; Foo, Chuan Yi; Tan, Khang Wei; Tan, Jully</t>
  </si>
  <si>
    <t>Prospective life cycle assessment: Identifying the most promising methods for sustainable cellulose nanocrystal production</t>
  </si>
  <si>
    <t>Chem. Eng. J.</t>
  </si>
  <si>
    <t>Piccinno, Fabiano; Hischier, Roland; Seeger, Stefan; Som, Claudia</t>
  </si>
  <si>
    <t>Predicting the environmental impact of a future nanocellulose production at industrial scale: Application of the life cycle assessment scale-up framework</t>
  </si>
  <si>
    <t>Charalambous, Margarita A.; Sacchi, Romain; Tulus, Victor; Guillen-Gosalbez, Gonzalo</t>
  </si>
  <si>
    <t>Mayer, Felix; Bhandari, Ramchandra; Gaeth, Stefan A.</t>
  </si>
  <si>
    <t>Life cycle assessment of prospective sewage sludge treatment paths in Germany</t>
  </si>
  <si>
    <t>Terlouw, Tom; AlSkaif, Tarek; Bauer, Christian; Mazzotti, Marco; McKenna, Russell</t>
  </si>
  <si>
    <t>Designing residential energy systems considering prospective costs and life cycle GHG emissions</t>
  </si>
  <si>
    <t>Loubet, Philippe; Vincent, Adrien; Collin, Annabelle; Dejous, Corinne; Ghiotto, Anthony; Jego, Christophe</t>
  </si>
  <si>
    <t>Life cycle assessment of ICT in higher education: a comparison between desktop and single-board computers</t>
  </si>
  <si>
    <t>Maimaiti, Sairedaer; Gu, Yu; Chen, Qianqian; Tang, Zhiyong</t>
  </si>
  <si>
    <t>Prospective life cycle environmental impact assessment of renewable energy-based methanol production system: A case study in China</t>
  </si>
  <si>
    <t>Davila, Juanita Gallego; Sacchi, Romain; Pizzol, Massimo</t>
  </si>
  <si>
    <t>Zhai, Pei; Haussener, Sophia; Ager, Joel; Sathre, Roger; Walczak, Karl; Greenblatt, Jeffery; McKone, Thomas</t>
  </si>
  <si>
    <t>Net primary energy balance of a solar-driven photoelectrochemical water-splitting device</t>
  </si>
  <si>
    <t>Gupta, Pralhad; Wu, Ye; He, Xiaoyi; Zhuge, Weilin; Ma, Fanhua</t>
  </si>
  <si>
    <t>Life cycle analysis of HCNG light-duty vehicle demonstration project</t>
  </si>
  <si>
    <t>Materia</t>
  </si>
  <si>
    <t>Kiessling, Lukas; Pinger, Pia; Seegers, Philipp; Bergerhoff, Jan</t>
  </si>
  <si>
    <t>Gender differences in wage expectations and negotiation</t>
  </si>
  <si>
    <t>Labour Econ.</t>
  </si>
  <si>
    <t>Gilbertson, Leanne M.; Pourzahedi, Leila; Laughton, Stephanie; Gao, Xiaoyu; Zimmerman, Julie B.; Theis, Thomas L.; Westerhoff, Paul; Lowry, Gregory, V</t>
  </si>
  <si>
    <t>Guiding the design space for nanotechnology to advance sustainable crop production</t>
  </si>
  <si>
    <t>Nat. Nanotechnol.</t>
  </si>
  <si>
    <t>Pihl, Erik; Kushnir, Duncan; Sanden, Bjorn; Johnsson, Filip</t>
  </si>
  <si>
    <t>Material constraints for concentrating solar thermal power</t>
  </si>
  <si>
    <t>Ma, Pengsha; Xu, Zhen; Wang, Min; Lu, Linfeng; Yin, Min; Chen, Xiaoyuan; Li, Dongdong; Ren, Wei</t>
  </si>
  <si>
    <t>Fast fabrication of TiO2 hard stamps for nanoimprint lithography</t>
  </si>
  <si>
    <t>Mater. Res. Bull.</t>
  </si>
  <si>
    <t>Wiedmann, Thomas</t>
  </si>
  <si>
    <t>An input-output virtual laboratory in practice - survey of uptake, usage and applications of the first operational IELab</t>
  </si>
  <si>
    <t>Econ. Syst. Res.</t>
  </si>
  <si>
    <t>ter Veld, Frank</t>
  </si>
  <si>
    <t>Beyond the Fossil Fuel Era: On the Feasibility of Sustainable Electricity Generation Using Biogas from Microalgae</t>
  </si>
  <si>
    <t>Energy Fuels</t>
  </si>
  <si>
    <t>Wu, Di; Gao, Zixiang; Wu, Shiliang; Xiao, Rui</t>
  </si>
  <si>
    <t>Negative net global warming potential hydrogen production through biomass gasification combined with chemical looping: Environmental and economic assessments</t>
  </si>
  <si>
    <t>Wu, Bo; Wang, Yan-Wei; Dai, Yong-Hua; Song, Chao; Zhu, Qi-Li; Qin, Han; Tan, Fu-Rong; Chen, Han-Cheng; Dai, Li-Chun; Hu, Guo-Quan; He, Ming-Xiong</t>
  </si>
  <si>
    <t>Current status and future prospective of bio-ethanol industry in China</t>
  </si>
  <si>
    <t>Zhang, Chunbo; Hu, Mingming; Yang, Xining; Miranda-Xicotencatl, Brenda; Sprecher, Benjamin; Di Maio, Francesco; Zhong, Xiaoyang; Tukker, Arnold</t>
  </si>
  <si>
    <t>Upgrading construction and demolition waste management from downcycling to recycling in the Netherlands</t>
  </si>
  <si>
    <t>Dunkelberg, Elisa; Finkbeiner, Matthias; Hirschl, Bernd</t>
  </si>
  <si>
    <t>Sugarcane ethanol production in Malawi: Measures to optimize the carbon footprint and to avoid indirect emissions</t>
  </si>
  <si>
    <t>Koh, S. C. L.; Gunasekaran, A.; Goodman, T.</t>
  </si>
  <si>
    <t>Drivers, barriers and critical success factors for ERPII implementation in supply chains: A critical analysis</t>
  </si>
  <si>
    <t>J. Strateg. Inf. Syst.</t>
  </si>
  <si>
    <t>Feng, Shuangjiang; Yao, Lei; Feng, Mingxin; Cai, Haoran; He, Xu; He, Man; Bu, Xiaohai; Zhou, Yuming; Zhang, Tao</t>
  </si>
  <si>
    <t>Sustainable regeneration of waste polystyrene foam as cooling coating: Building cooling energy saving, CO2 emission reduction and cost-benefit prospective</t>
  </si>
  <si>
    <t>Yan, Haohao; Liu, Zhicheng; Yan, Gangan; Liu, Xiaoli; Liu, Xiaoping; Wang, Yanchang; Chen, Yunyu</t>
  </si>
  <si>
    <t>A robust high-throughput fluorescence polarization assay for rapid of SARS-CoV-2 inhibitors</t>
  </si>
  <si>
    <t>Virology</t>
  </si>
  <si>
    <t>Zhang, Hanwen; He, Qing; Jiang, Xiaoying; Wang, Hongxia; Wang, Yulu; Ma, Mingyang; Hu, Qiang; Gong, Yingchun</t>
  </si>
  <si>
    <t>A New Algivorous Heterolobosean Amoeba, Euplaesiobystra perlucida sp. nov. (Tetramitia, Discoba), Isolated from Pilot-Scale Cultures of Phaeodactylum tricornutum</t>
  </si>
  <si>
    <t>Microbiol. Spectr.</t>
  </si>
  <si>
    <t>Olsen, K. W.; Castillo-Fernandez, J.; Zedeler, A.; Freiesleben, N. C.; Bungum, M.; Chan, A. C.; Cardona, A.; Perry, J. R. B.; Skouby, S. O.; Borup, R.; Hoffmann, E. R.; Kelsey, G.; Grondahl, M. L.</t>
  </si>
  <si>
    <t>A distinctive epigenetic ageing profile in human granulosa cells</t>
  </si>
  <si>
    <t>Gao, Feng; Miller, J. Philip; Miglior, Stefano; Beiser, Julia A.; Torri, Valter; Kass, Michael A.; Gordon, Mae O.</t>
  </si>
  <si>
    <t>The effect of changes in intraocular pressure on the risk of primary open-angle glaucoma in patients with ocular hypertension: an application of latent class analysis</t>
  </si>
  <si>
    <t>BMC Med. Res. Methodol.</t>
  </si>
  <si>
    <t>Schomers, Sarah; Meyer, Claas; Matzdorf, Bettina; Sattler, Claudia</t>
  </si>
  <si>
    <t>Facilitation of public Payments for Ecosystem Services through local intermediaries: An institutional analysis of agri-environmental measure implementation in Germany</t>
  </si>
  <si>
    <t>Environ. Policy Gov.</t>
  </si>
  <si>
    <t>Decision</t>
  </si>
  <si>
    <t>WILEY</t>
  </si>
  <si>
    <t>AMER CHEMICAL SOC</t>
  </si>
  <si>
    <t>ELSEVIER SCI LTD</t>
  </si>
  <si>
    <t>SPRINGER HEIDELBERG</t>
  </si>
  <si>
    <t>EDP SCIENCES S A</t>
  </si>
  <si>
    <t>ELSEVIER</t>
  </si>
  <si>
    <t>SPRINGER</t>
  </si>
  <si>
    <t>ROYAL SOC CHEMISTRY</t>
  </si>
  <si>
    <t>PERGAMON-ELSEVIER SCIENCE LTD</t>
  </si>
  <si>
    <t>EDITORIAL BOARD EJTIR</t>
  </si>
  <si>
    <t>NATURE PORTFOLIO</t>
  </si>
  <si>
    <t>ELSEVIER SCIENCE SA</t>
  </si>
  <si>
    <t>Life cycle assessment of algae biodiesel and its co-products</t>
  </si>
  <si>
    <t>Rodrigues, Carla; Rodrigues, Eugenio; Fernandes, Marco S.; Tadeu, Sergio</t>
  </si>
  <si>
    <t>Prospective life cycle approach to buildings' adaptation for future climate and decarbonization scenarios</t>
  </si>
  <si>
    <t>Senan-Salinas, Jorge; Landaburu-Aguirre, Junkal; Blanco, Alberto; Garcia-Pacheco, Raquel; Garcia-Calvo, Eloy</t>
  </si>
  <si>
    <t>Data of the life cycle impact assessment and cost analysis of prospective direct recycling of end-of-life reverse osmosis membrane at full scale</t>
  </si>
  <si>
    <t>Data Brief</t>
  </si>
  <si>
    <t>WILEY-BLACKWELL</t>
  </si>
  <si>
    <t>WILEY-V C H VERLAG GMBH</t>
  </si>
  <si>
    <t>CAMBRIDGE UNIV PRESS</t>
  </si>
  <si>
    <t>ECOMED PUBLISHERS</t>
  </si>
  <si>
    <t>ASSOC INFORMATION SYSTEMS</t>
  </si>
  <si>
    <t>Ames, Daniel; Coyne, Joshua; Kim, Kevin</t>
  </si>
  <si>
    <t>The impact of life cycle stage on firm acquisitions</t>
  </si>
  <si>
    <t>EMERALD GROUP PUBLISHING LTD</t>
  </si>
  <si>
    <t>Int. J. Account. Inf. Manag.</t>
  </si>
  <si>
    <t>ACADEMIC PRESS LTD- ELSEVIER SCIENCE LTD</t>
  </si>
  <si>
    <t>Raman, Jegannathan Kenthorai; Gnansounou, Edgard</t>
  </si>
  <si>
    <t>LCA of bioethanol and furfural production from vetiver</t>
  </si>
  <si>
    <t>IOP Publishing Ltd</t>
  </si>
  <si>
    <t>FRONTIERS MEDIA SA</t>
  </si>
  <si>
    <t>Beucker, Severin; Bergesen, Joseph D.; Gibon, Thomas</t>
  </si>
  <si>
    <t>SPRINGERNATURE</t>
  </si>
  <si>
    <t>Ozoemena, Matthew C.; Coles, Stuart R.</t>
  </si>
  <si>
    <t>Hydrothermal Treatment of Waste Plastics: An Environmental Impact Study</t>
  </si>
  <si>
    <t>J. Polym. Environ.</t>
  </si>
  <si>
    <t>FOREST PRODUCTS SOC</t>
  </si>
  <si>
    <t>TRANSPORTATION RESEARCH BOARD NATL RESEARCH COUNCIL</t>
  </si>
  <si>
    <t>UNIV FED RIO DE JANEIRO, LAB HIDROGENIO</t>
  </si>
  <si>
    <t>Heeren, Niko; Hellweg, Stefanie</t>
  </si>
  <si>
    <t>ELSEVIER SCIENCE INC</t>
  </si>
  <si>
    <t>SCANDINAVIAN UNIVERSITY PRESS</t>
  </si>
  <si>
    <t>ROUTLEDGE JOURNALS, TAYLOR &amp; FRANCIS LTD</t>
  </si>
  <si>
    <t>Richarz, Jan; Henn, Sarah; Osterhage, Tanja; Muller, Dirk</t>
  </si>
  <si>
    <t>Optimal scheduling of modernization measures for typical non-residential buildings</t>
  </si>
  <si>
    <t>MUJTABA, MS</t>
  </si>
  <si>
    <t>ENTERPRISE MODELING AND SIMULATION - COMPLEX DYNAMIC BEHAVIOR OF A SIMPLE-MODEL OF MANUFACTURING</t>
  </si>
  <si>
    <t>HEWLETT-PACKARD CO</t>
  </si>
  <si>
    <t>Hewlett-Packard J.</t>
  </si>
  <si>
    <t>Ginster, Raphael; Bloemeke, Steffen; Popien, Jan-Linus; Scheller, Christian; Cerdas, Felipe; Herrmann, Christoph; Spengler, Thomas S.</t>
  </si>
  <si>
    <t>Circular battery production in the EU: Insights from integrating life cycle assessment into system dynamics modeling on recycled content and environmental impacts</t>
  </si>
  <si>
    <t>ELSEVIER IRELAND LTD</t>
  </si>
  <si>
    <t>Kodzi, Ivy A.; Johnson, David R.; Casterline, John B.</t>
  </si>
  <si>
    <t>To have or not to have another child: Life cycle, health and cost considerations of Ghanaian women</t>
  </si>
  <si>
    <t>Soc. Sci. Med.</t>
  </si>
  <si>
    <t>Essex, EL; Seltzer, MM; Krauss, MW</t>
  </si>
  <si>
    <t>Residential transitions of adults with mental retardation: Predictors of waiting list use and placement</t>
  </si>
  <si>
    <t>AMER ASSOC MENTAL RETARDATION</t>
  </si>
  <si>
    <t>Am. J. Ment. Retard.</t>
  </si>
  <si>
    <t>PACIFIC AFFAIRS UNIV BRITISH COLUMBIA</t>
  </si>
  <si>
    <t>Martin, LR; Friedman, HS; Clark, KM; Tucker, JS</t>
  </si>
  <si>
    <t>Longevity following the experience of parental divorce</t>
  </si>
  <si>
    <t>REVUE DE METALLURGIE</t>
  </si>
  <si>
    <t>ASCE-AMER SOC CIVIL ENGINEERS</t>
  </si>
  <si>
    <t>SPRINGER JAPAN KK</t>
  </si>
  <si>
    <t>Raghavan, Seshadri Srinivasa; Nordelof, Anders; Ljunggren, Maria; Arvidsson, Rickard</t>
  </si>
  <si>
    <t>Metal requirements for road-based electromobility transitions in Sweden</t>
  </si>
  <si>
    <t>TAYLOR &amp; FRANCIS INC</t>
  </si>
  <si>
    <t>BLACKWELL SCIENCE LTD</t>
  </si>
  <si>
    <t>ACADEMIC PRESS INC ELSEVIER SCIENCE</t>
  </si>
  <si>
    <t>AMER SOC MICROBIOLOGY</t>
  </si>
  <si>
    <t>ELSEVIER SCIENCE BV</t>
  </si>
  <si>
    <t>SAGE PUBLICATIONS INC</t>
  </si>
  <si>
    <t>Meinert, Lawrence D.; Robinson, Gilpin R., Jr.; Nassar, Nedal T.</t>
  </si>
  <si>
    <t>Mineral Resources: Reserves, Peak Production and the Future</t>
  </si>
  <si>
    <t>AMER SOC CRIMINOLOGY</t>
  </si>
  <si>
    <t>NATL ACAD SCIENCES</t>
  </si>
  <si>
    <t>Kodumuri, P.; Joshi, P.; Malek, I.</t>
  </si>
  <si>
    <t>Assessment of the carbon footprint of total hip arthroplasty and opportunities for emission reduction in a UK hospital setting</t>
  </si>
  <si>
    <t>BRITISH EDITORIAL SOC BONE &amp; JOINT SURGERY</t>
  </si>
  <si>
    <t>Bone Joint Open</t>
  </si>
  <si>
    <t>ENTOMOLOGICAL SOC AMER</t>
  </si>
  <si>
    <t>SAGE PUBLICATIONS LTD</t>
  </si>
  <si>
    <t>Hong, Hyunjoo; Part, Florian; Nowack, Bernd</t>
  </si>
  <si>
    <t>Prospective Dynamic and Probabilistic Material Flow Analysis of Graphene-Based Materials in Europe from 2004 to 2030</t>
  </si>
  <si>
    <t>Thakker, Alka Madhukar; Sun, Danmei</t>
  </si>
  <si>
    <t>Innovative Plant-Based Mordants and Colorants for Application on Cotton Fabric</t>
  </si>
  <si>
    <t>J. Nat. Fibers</t>
  </si>
  <si>
    <t>POLSKA AKAD NAUK, POLISH ACAD SCIENCES, MINER &amp; ENERGY ECON RES INST PAS</t>
  </si>
  <si>
    <t>WILEY PERIODICALS, INC</t>
  </si>
  <si>
    <t>Powell, Jon T.; Pons, Jose C.; Chertow, Marian</t>
  </si>
  <si>
    <t>Waste Informatics: Establishing Characteristics of Contemporary US Landfill Quantities and Practices</t>
  </si>
  <si>
    <t>TECH SCIENCE PRESS</t>
  </si>
  <si>
    <t>Fishman, Tomer; Heeren, Niko; Pauliuk, Stefan; Berrill, Peter; Tu, Qingshi; Wolfram, Paul; Hertwich, Edgar G.</t>
  </si>
  <si>
    <t>INIFAP-CENID PARASITOLOGIA VETERINARIA</t>
  </si>
  <si>
    <t>AMER METEOROLOGICAL SOC</t>
  </si>
  <si>
    <t>Kim, Hyung Chul; Khalil, Ahmad M.; Jolly, Emmitt R.</t>
  </si>
  <si>
    <t>LncRNAs in molluscan and mammalian stages of parasitic schistosomes are developmentally-regulated and coordinately expressed with protein-coding genes</t>
  </si>
  <si>
    <t>RNA Biol.</t>
  </si>
  <si>
    <t>Fielding, Alan H.; Anderson, David; Benn, Stuart; Reid, Robin; Tingay, Ruth; Weston, Ewan D.; Whitfield, D. Philip</t>
  </si>
  <si>
    <t>Substantial Variation in Prospecting Behaviour of Young Golden Eagles Aquila chrysaetos Defies Expectations from Potential Predictors</t>
  </si>
  <si>
    <t>Diversity-Basel</t>
  </si>
  <si>
    <t>BMC</t>
  </si>
  <si>
    <t>Baker, Meredith A.; Mitchell, Paul D.; O'Loughlin, Alison A.; Potemkin, Alexis K.; Anez-Bustillos, Lorenzo; Dao, Duy T.; Fell, Gillian L.; Gura, Kathleen M.; Puder, Mark</t>
  </si>
  <si>
    <t>Characterization of Fatty Acid Profiles in Infants With Intestinal Failure-Associated Liver Disease</t>
  </si>
  <si>
    <t>J. Parenter. Enter. Nutr.</t>
  </si>
  <si>
    <t>Baars, Joris; Rajaeifar, Mohammad Ali; Heidrich, Oliver</t>
  </si>
  <si>
    <t>Abatecola, Gianpaolo; Uli, Vincenzo</t>
  </si>
  <si>
    <t>Entrepreneurial competences, liability of newness and infant survival Evidence from the service industry</t>
  </si>
  <si>
    <t>J. Manag. Dev.</t>
  </si>
  <si>
    <t>TAYLOR &amp; FRANCIS LTD</t>
  </si>
  <si>
    <t>US DEPT HEALTH HUMAN SCIENCES PUBLIC HEALTH SCIENCE</t>
  </si>
  <si>
    <t>INT CTR MENTAL HEALTH POLICY &amp; ECONOMICS-ICMPE</t>
  </si>
  <si>
    <t>BROOKINGS INST PRESS</t>
  </si>
  <si>
    <t>PUBLIC LIBRARY SCIENCE</t>
  </si>
  <si>
    <t>BMJ PUBLISHING GROUP</t>
  </si>
  <si>
    <t>OXFORD UNIV PRESS</t>
  </si>
  <si>
    <t>Mutti-Packer, Seema; Kowatch, Kristy; Steadman, Rodney; Hodgins, David C.; el-Guebaly, Nady; Casey, David M.; Currie, Shawn R.; Williams, Robert J.; Smith, Garry J.</t>
  </si>
  <si>
    <t>A qualitative examination of factors underlying transitions in problem gambling severity: Findings from the Leisure, Lifestyle, &amp; Lifecycle Project</t>
  </si>
  <si>
    <t>Addict. Res. Theory</t>
  </si>
  <si>
    <t>JMIR PUBLICATIONS, INC</t>
  </si>
  <si>
    <t>InnoVision Professional Media</t>
  </si>
  <si>
    <t>ADIS INT LTD</t>
  </si>
  <si>
    <t>MOSBY-ELSEVIER</t>
  </si>
  <si>
    <t>ROYAL COLL SURGEONS ENGLAND</t>
  </si>
  <si>
    <t>GEORG THIEME VERLAG KG</t>
  </si>
  <si>
    <t>Biarnes, Marc; Forero, Carlos G.; Arias, Luis; Alonso, Jordi; Mones, Jordi</t>
  </si>
  <si>
    <t>Reappraisal of Geographic Atrophy Patterns Seen on Fundus Autofluorescence Using a Latent Class Analysis Approach</t>
  </si>
  <si>
    <t>ASSOC RESEARCH VISION OPHTHALMOLOGY INC</t>
  </si>
  <si>
    <t>Invest. Ophthalmol. Vis. Sci.</t>
  </si>
  <si>
    <t>Chapon, Valentin; Brignon, Jean-Marc; Gasperi, Johnny</t>
  </si>
  <si>
    <t>Non-persistent chemicals in polymer and non-polymer products can cause persistent environmental contamination: evidence with DEHP in Europe</t>
  </si>
  <si>
    <t>FUTURE MEDICINE LTD</t>
  </si>
  <si>
    <t>AMER PSYCHOLOGICAL ASSOC</t>
  </si>
  <si>
    <t>Uher, R.; Mantere, O.; Suominen, K.; Isometsa, E.</t>
  </si>
  <si>
    <t>Typology of clinical course in bipolar disorder based on 18-month naturalistic follow-up</t>
  </si>
  <si>
    <t>EDUCATIONAL PUBLISHING FOUNDATION-AMERICAN PSYCHOLOGICAL ASSOC</t>
  </si>
  <si>
    <t>LIPPINCOTT-RAVEN PUBL</t>
  </si>
  <si>
    <t>Hetlevik, Oystein; Meland, Eivind; Hufthammer, Karl Ove; Breidablik, Hans J.; Jahanlu, David; Vie, Tina L.</t>
  </si>
  <si>
    <t>Self-rated health in adolescence as a predictor of 'multi-illness' in early adulthood: A prospective registry-based Norwegian HUNT study</t>
  </si>
  <si>
    <t>SSM-Popul. Health</t>
  </si>
  <si>
    <t>BIOLIFE SAS</t>
  </si>
  <si>
    <t>Macroanalysis of the economic and environmental impacts of a 2005-2025 European Union bioenergy policy using the GTAP model and life cycle assessment</t>
  </si>
  <si>
    <t>Consequential Life Cycle Assessment of Grain and Oilseed Crops: Review and Recommendations</t>
  </si>
  <si>
    <t>Can bioenergy with carbon capture and storage deliver negative emissions? A critical review of life cycle assessment</t>
  </si>
  <si>
    <t>A review of thermochemical upgrading of pyrolysis bio-oil: Techno-economic analysis, life cycle assessment, and technology readiness</t>
  </si>
  <si>
    <t>From prospecting to mining: A review of enabling technologies, LCAs, and LCCAs for improved construction and demolition waste management</t>
  </si>
  <si>
    <t>Biofuels as a Key Renewable Energy Source: a Review of Life Cycle Assessment Studies in South Africa</t>
  </si>
  <si>
    <t>How environmental impact is considered in economic evaluations of critical care: a scoping review</t>
  </si>
  <si>
    <t>Assessing the future prospects of emerging technologies for shipping and aviation biofuels: A critical review</t>
  </si>
  <si>
    <t>Biomass to liquid: A prospective challenge to research and development in 21st century</t>
  </si>
  <si>
    <t>Lithium-Free Redox Flow Batteries: Challenges and Future Prospective for Safe and Efficient Energy Storage</t>
  </si>
  <si>
    <t>Prospective techno-economic and life cycle assessment: a review across established and emerging carbon capture, storage and utilization (CCS/CCU) technologies</t>
  </si>
  <si>
    <t>Combinations of material flow analysis and life cycle assessment and their applicability to assess circular economy requirements in EU product regulations. A systematic literature review</t>
  </si>
  <si>
    <t>Carbon footprints of production and use of liquid biofuels in Tanzania</t>
  </si>
  <si>
    <t>Right place, right time: Environmental sensing and signal transduction directs cellular differentiation and motility in Trypanosoma brucei</t>
  </si>
  <si>
    <t>Environmental sustainability of fruit and vegetable production supply chains in the face of climate change: A review</t>
  </si>
  <si>
    <t>Predictive models in machine learning for strength and life cycle assessment of concrete structures</t>
  </si>
  <si>
    <t>Transition Metal Catalysts for Atmospheric Heavy Metal Removal: A Review of Current Innovations and Advances</t>
  </si>
  <si>
    <t>Challenges and Potential of Artificial Intelligence in Neuroradiology</t>
  </si>
  <si>
    <t>A systematic review of additive manufacturing-based remanufacturing techniques for component repair and restoration br</t>
  </si>
  <si>
    <t>An overview of thorium as a prospective natural resource for future energy</t>
  </si>
  <si>
    <t>A state-of-the-art review on carbon quantum dots: Prospective, advances, zebrafish biocompatibility and bioimaging in vivo and bibliometric analysis</t>
  </si>
  <si>
    <t>Beyond surface: Unveiling ecological and economic ramifications of microplastic pollution in the oceans</t>
  </si>
  <si>
    <t>Advantages and Limitations of Anaerobic Wastewater Treatment-Technological Basics, Development Directions, and Technological Innovations</t>
  </si>
  <si>
    <t>The regulatory functions of oxylipins in fungi: A review</t>
  </si>
  <si>
    <t>Industrial Facilities Non-Process Energy</t>
  </si>
  <si>
    <t>Advancements and Policy Implications of Green Hydrogen Production from Renewable Sources</t>
  </si>
  <si>
    <t>Distribution and transport of contaminants in soil through mining processes and its environmental impact and health hazard assessment: A review of the prospective solutions</t>
  </si>
  <si>
    <t>Progress and Prospective of Nitrogen-Based Alternative Fuels</t>
  </si>
  <si>
    <t>Black soldier fly, Hermetia illucens as a potential innovative and environmentally friendly tool for organic waste management: A mini-review</t>
  </si>
  <si>
    <t>A review of techno-economic data for road transportation fuels</t>
  </si>
  <si>
    <t>Algal-based biofuel generation through flue gas and wastewater utilization: a sustainable prospective approach</t>
  </si>
  <si>
    <t>Community coalition-driven interventions to reduce health disparities among racial and ethnic minority populations</t>
  </si>
  <si>
    <t>Green synthesis of metal and metal oxide nanoparticles from plant leaf extracts and their applications: A review</t>
  </si>
  <si>
    <t>Viability of solar or wind for water pumping systems in the Algerian Sahara regions - case study Adrar</t>
  </si>
  <si>
    <t>Prospectives for the development of a circular bioeconomy around the banana value chain</t>
  </si>
  <si>
    <t>Dandres, Thomas; Gaudreault, Caroline; Tirado-Seco, Pablo; Samson, Rejean</t>
  </si>
  <si>
    <t>AzariJafari, Hessam; Yahia, Ammar; Ben Amor, Mourad</t>
  </si>
  <si>
    <t>Life cycle assessment of pavements: reviewing research challenges and opportunities</t>
  </si>
  <si>
    <t>Caiardi, Fanny; Azzaro-Pantel, Catherine; Le-Boulch, Denis</t>
  </si>
  <si>
    <t>Bamber, Nicole; Turner, Ian; Dutta, Baishali; Heidari, Mohammed Davoud; Pelletier, Nathan</t>
  </si>
  <si>
    <t>Wang, Junyao; Zheng, Yawen; He, Song; Yan, Jiahui; Zeng, Xuelan; Li, Shuangjun; Tian, Zhipeng; Lei, Libin; Chen, Yin; Deng, Shuai</t>
  </si>
  <si>
    <t>Mandade, Prasad; Weil, Marcel; Baumann, Manuel; Wei, Zhixuan</t>
  </si>
  <si>
    <t>Environmental life cycle assessment of emerging solid-state batteries: A review</t>
  </si>
  <si>
    <t>Chem. Eng. J. Adv.</t>
  </si>
  <si>
    <t>Alaux, Nicolas; Marton, Christopher; Steinmann, Jacob; Maierhofer, Dominik; Mastrucci, Alessio; Petrou, Danai; Obrecht, Tajda Potrc; Ramon, Delphine; Le Den, Xavier; Allacker, Karen; Passer, Alexander; Roeck, Martin</t>
  </si>
  <si>
    <t>Carrandi, Alayna; Nguyen, Christina; Tse, Wai Chung; Taylor, Colman; McGain, Forbes; Thompson, Kelly; Hensher, Martin; McAlister, Scott; Higgins, Alisa M.</t>
  </si>
  <si>
    <t>Intensive Care Med.</t>
  </si>
  <si>
    <t>Sorunmu, Yetunde; Billen, Pieter; Spatari, Sabrina</t>
  </si>
  <si>
    <t>GCB Bioenergy</t>
  </si>
  <si>
    <t>Menten, Fabio; Tchung-Ming, Stephane; Lorne, Daphne; Bouvart, Frederique</t>
  </si>
  <si>
    <t>Echendu, Adaku Jane; Hampo, Chima Cyril; Olatunde, Dare; Obasih, Judith Isioma; Oni, Oluwatosin; Ojo, Damilola; Mathew, Musa; Adediji, Modupeoluwa; Oladipo, Seun</t>
  </si>
  <si>
    <t>Biofuels-UK</t>
  </si>
  <si>
    <t>Barkhausen, Robin; Rostek, Leon; Miao, Zoe Chunyu; Zeller, Vanessa</t>
  </si>
  <si>
    <t>Arias, Ana; Nika, Chrysanthi-Elisabeth; Vasilaki, Vasileia; Feijoo, Gumersindo; Moreira, Maria Teresa; Katsou, Evina</t>
  </si>
  <si>
    <t>Xue, Kai; Hossain, Md. Uzzal; Liu, Meng; Ma, Mingjun; Zhang, Yizhi; Hu, Mengqiang; Chen, XiaoYi; Cao, Guangyu</t>
  </si>
  <si>
    <t>BIM Integrated LCA for Promoting Circular Economy towards Sustainable Construction: An Analytical Review</t>
  </si>
  <si>
    <t>Jiang, Jingbo; Chu, Chunli; Song, Lulu; Gao, Xiaofeng; Huang, Beijia; Zhang, Yufei; Zhang, Yi; Liu, Ying; Hou, Lijing; Ju, Meiting; Cao, Zhi</t>
  </si>
  <si>
    <t>Walsh, Breanna; Hill, Kent L.</t>
  </si>
  <si>
    <t>Mol. Microbiol.</t>
  </si>
  <si>
    <t>Wang, Pingping; Robinson, Ada Josefina; Papadokonstantakis, Stavros</t>
  </si>
  <si>
    <t>Front. Energy Res.</t>
  </si>
  <si>
    <t>Parajuli, Ranjan; Thoma, Greg; Matlock, Marty D.</t>
  </si>
  <si>
    <t>Swain, Pravat K.; Das, L. M.; Naik, S. N.</t>
  </si>
  <si>
    <t>Harpprecht, Carina; Xicotencatl, Brenda Miranda; van Nielen, Sander; van der Meide, Marc; Li, Chen; Li, Zhijie; Tukker, Arnold; Steubing, Bernhard</t>
  </si>
  <si>
    <t>Dinesh, A.; Prasad, Rahul</t>
  </si>
  <si>
    <t>Autom. Constr.</t>
  </si>
  <si>
    <t>Eshton, Bilha; Katima, Jamidu H. Y.</t>
  </si>
  <si>
    <t>Leal, Daniela; Gato, Jorge; Coimbra, Susana; Freitas, Daniela; Tasker, Fiona</t>
  </si>
  <si>
    <t>Social Support in the Transition to Parenthood Among Lesbian, Gay, and Bisexual Persons: A Systematic Review</t>
  </si>
  <si>
    <t>Sex. Res. Soc. Policy</t>
  </si>
  <si>
    <t>Hazra, Soumya Kanti; Kim, Hyerim; Meskher, Hicham; Singh, Punit; Kansara, Shivam; Thakur, Amrit Kumar; Khan, Shahid Ali; Saleque, Ahmed Mortuza; Saidur, R.; Ahmed, Mohammad Shamsuddin; Hwang, Jang-Yeon</t>
  </si>
  <si>
    <t>Batteries Supercaps</t>
  </si>
  <si>
    <t>Garcia-Gusano, Diego; Garrain, Daniel; Dufour, Javier</t>
  </si>
  <si>
    <t>Winder, Anthony J.; Stanley, Emma A. M.; Fiehler, Jens; Forkert, Nils D.</t>
  </si>
  <si>
    <t>Clin. Neuroradiol.</t>
  </si>
  <si>
    <t>Huppes, Gjalt; Schaubroeck, Thomas</t>
  </si>
  <si>
    <t>Forecasting the Future Sustainability of Technology Choices: Qualitative Predictive Validity of Models as a Complement to Quantitative Uncertainty</t>
  </si>
  <si>
    <t>Liu, Huiqian; Zhang, Xizi; Chen, Wei; Wang, Chengtao</t>
  </si>
  <si>
    <t>J. Basic Microbiol.</t>
  </si>
  <si>
    <t>Ma, Qiang; Zhang, Xianglong; Li, Jie; Zhang, Yingjie; Wang, Qingyuan; Zeng, Li; Yang, Yige; Xie, Yonghong; Huang, Jin; Wang, Dingyi</t>
  </si>
  <si>
    <t>Molecules</t>
  </si>
  <si>
    <t>Moeller, Martin; Griesshammer, Rainer</t>
  </si>
  <si>
    <t>Prospective technology assessment in the Anthropocene: A transition toward a culture of sustainability</t>
  </si>
  <si>
    <t>Anthr. Rev.</t>
  </si>
  <si>
    <t>Zielinski, Marcin; Kazimierowicz, Joanna; Debowski, Marcin</t>
  </si>
  <si>
    <t>Wang, Leiming; Liu, Wei; Sun, Haipeng; Yang, Li; Huang, Liang</t>
  </si>
  <si>
    <t>Bawaneh, Khaled; Overcash, Michael; Twomey, Janet</t>
  </si>
  <si>
    <t>Industrial facilities nonprocess energy</t>
  </si>
  <si>
    <t>Crit. Rev. Environ. Sci. Technol.</t>
  </si>
  <si>
    <t>Jiang, Chenhui; Wang, Aiying; Bao, Xufan; Ni, Tongyuan; Ling, Jin</t>
  </si>
  <si>
    <t>A review on geopolymer in potential coating application: Materials, preparation and basic properties</t>
  </si>
  <si>
    <t>Elishav, Oren; Lis, Bar Mosevitzky; Miller, Elisa M.; Arent, Douglas J.; Valera-Medina, Agustin; Dana, Alon Grinberg; Shter, Gennady E.; Grader, Gideon S.</t>
  </si>
  <si>
    <t>Chem. Rev.</t>
  </si>
  <si>
    <t>Kanishka, Kumar; Acherjee, Bappa</t>
  </si>
  <si>
    <t>J. Manuf. Process.</t>
  </si>
  <si>
    <t>Jyothi, Rajesh Kumar; De Melo, Leonardo Gadelha Tumajan Costa; Santos, Rafael M.; Yoon, Ho-Sung</t>
  </si>
  <si>
    <t>Vinayagam, Saranya; Sathishkumar, Kuppusamy; Ayyamperumal, Ramamoorthy; Natarajan, Prabhu Manickam; Ahmad, Irfan; Saeed, Mohd; Alabdallah, Nadiyah M.; Sundaram, Thanigaivel</t>
  </si>
  <si>
    <t>Environ. Res.</t>
  </si>
  <si>
    <t>Chen, Rundong; Xu, Pengpeng; Yao, Haona</t>
  </si>
  <si>
    <t>Decarbonization of China?s regional power grid by 2050 in the government development planning scenario</t>
  </si>
  <si>
    <t>Umar, Ehtisham; Ikram, Muhammad; Haider, Junaid; Nabgan, Walid; Haider, Ali; Imran, Muhammad; Nazir, Ghazanfar</t>
  </si>
  <si>
    <t>Kothari, Richa; Ahmad, Shamshad; Pathak, Vinayak V.; Pandey, Arya; Kumar, Ashwani; Shankarayan, Raju; Black, Paul N.; Tyagi, V. V.</t>
  </si>
  <si>
    <t>Biomass Convers. Biorefinery</t>
  </si>
  <si>
    <t>Delbecq, S.; Fontane, J.; Gourdain, N.; Planes, T.; Simatos, F.</t>
  </si>
  <si>
    <t>Sustainable aviation in the context of the Paris Agreement: A review of prospective scenarios and their technological mitigation levers</t>
  </si>
  <si>
    <t>Prog. Aeosp. Sci.</t>
  </si>
  <si>
    <t>Yeo, Jayven Chee Chuan; Muiruri, Joseph Kinyanjui; Lee, Poh Shiun Kenny; Vijayakumar, Raveenkumar; Lin, Ting Ting; Zhang, Xikui; Thitsartarn, Warintorn; Hadjichristidis, Nikos; He, Chaobin; Li, Zibiao</t>
  </si>
  <si>
    <t>Sustainable poly(lactic acid) transformation: Leveraging agri-food waste-compatibilization strategies nexus for enhanced properties</t>
  </si>
  <si>
    <t>Adv. Compos. Hybrid Mater.</t>
  </si>
  <si>
    <t>Rehman, Kashif Ur; Hollah, Clemens; Wiesotzki, Karin; Rehman, Rashid Ur; Rehman, Asif Ur; Zhang, Jibin; Zheng, Longyu; Nienaber, Theresa; Heinz, Volker; Aganovic, Kemal</t>
  </si>
  <si>
    <t>Waste Manage. Res.</t>
  </si>
  <si>
    <t>Bouzidi, B.</t>
  </si>
  <si>
    <t>Kurniawan, Tonni Agustiono; Mohyuddin, Ayesha; Othman, Mohd Hafiz Dzarfan; Goh, Hui Hwang; Zhang, Dongdong; Anouzla, Abdelkader; Aziz, Faissal; Casila, Joan C.; Ali, Imran; Pasaribu, Buntora</t>
  </si>
  <si>
    <t>Water Environ. Res.</t>
  </si>
  <si>
    <t>Fiallos-Cardenas, Manuel; Perez-Martinez, Simon; Ramirez, Angel D.</t>
  </si>
  <si>
    <t>Preece, Ch.; Chong, H. Y.; Golizadeh, H.; Rogers, J.</t>
  </si>
  <si>
    <t>A review of customer relationship (CRM) implications: benefits and challenges in construction organizations</t>
  </si>
  <si>
    <t>SPRINGER INTERNATIONAL PUBLISHING AG</t>
  </si>
  <si>
    <t>Int. J. Civ. Eng.</t>
  </si>
  <si>
    <t>Anderson, Laurie M.; Adeney, Kathryn L.; Shinn, Carolynne; Safranek, Sarah; Buckner-Brown, Joyce; Krause, L. Kendall</t>
  </si>
  <si>
    <t>Cochrane Database Syst Rev.</t>
  </si>
  <si>
    <t>El Shafey, Asmaa Mohamed</t>
  </si>
  <si>
    <t>WALTER DE GRUYTER GMBH</t>
  </si>
  <si>
    <t>Green Process. Synth.</t>
  </si>
  <si>
    <t>Environmental effects of vehicle-to-grid charging in future energy systems - A prospective life cycle assessment</t>
  </si>
  <si>
    <t>China's bulk material loops can be closed but deep decarbonization requires demand reduction</t>
  </si>
  <si>
    <t>Environmental Impacts of Future Urban Deployment of Electric Vehicles: Assessment Framework and Case Study of Copenhagen for 2016-2030</t>
  </si>
  <si>
    <t>CELL PRESS</t>
  </si>
  <si>
    <t>Wohlschlager, Daniela; Kigle, Stephan; Schindler, Vanessa; Neitz-Regett, Anika; Fro, Magnus</t>
  </si>
  <si>
    <t>Boyce, Johanna; Sacchi, Romain; Goetheer, Earl; Steubing, Bernhard</t>
  </si>
  <si>
    <t>IEEE-INST ELECTRICAL ELECTRONICS ENGINEERS INC</t>
  </si>
  <si>
    <t>Song, Lulu; van Ewijk, Stijn; Masanet, Eric; Watari, Takuma; Meng, Fanran; Cullen, Jonathan M.; Cao, Zhi; Chen, Wei-Qiang</t>
  </si>
  <si>
    <t>Nat. Clim. Chang.</t>
  </si>
  <si>
    <t>Rossi, Federico; Tosti, Lorenzo; Basosi, Riccardo; Cusenza, Maria Anna; Parisi, Maria Laura; Sinicropi, Adalgisa</t>
  </si>
  <si>
    <t>Nat. Sustain.</t>
  </si>
  <si>
    <t>Eur. J. Futures Res.</t>
  </si>
  <si>
    <t>Kalt, Gerald; Thunshirn, Philipp; Krausmann, Fridolin; Haberl, Helmut</t>
  </si>
  <si>
    <t>Naegler, Tobias; Becker, Lisa; Buchgeister, Jens; Hauser, Wolfgang; Hottenroth, Heidi; Junne, Tobias; Lehr, Ulrike; Scheel, Oliver; Schmidt-Scheele, Ricarda; Simon, Sonja; Sutardhio, Claudia; Tietze, Ingela; Ulrich, Philip; Viere, Tobias; Weidlich, Anke</t>
  </si>
  <si>
    <t>Siguenza, Carlos Pablo; Cucurachi, Stefano; Tukker, Arnold</t>
  </si>
  <si>
    <t>Junne, Tobias; Simon, Sonja; Buchgeister, Jens; Saiger, Maximilian; Baumann, Manuel; Haase, Martina; Wulf, Christina; Naegler, Tobias</t>
  </si>
  <si>
    <t>Vandepaer, Laurent; Panos, Evangelos; Bauer, Christian; Amor, Ben</t>
  </si>
  <si>
    <t>Glob. Environ. Change-Human Policy Dimens.</t>
  </si>
  <si>
    <t>Blanco, Herib; Codina, Victor; Laurent, Alexis; Nijs, Wouter; Marechal, Francois; Faaij, Andre</t>
  </si>
  <si>
    <t>Xu, Lei; Fuss, Maryegli; Poganietz, Witold-Roger; Jochem, Patrick; Schreiber, Steffi; Zoephel, Christoph; Brown, Nils</t>
  </si>
  <si>
    <t>Glensor, Kain; Rosa Munoz B., Maria</t>
  </si>
  <si>
    <t>Besseau, Romain; Sacchi, Romain; Blanc, Isabelle; Perez-Lopez, Paula</t>
  </si>
  <si>
    <t>Allacker, Karen; Castellani, Valentina; Baldinelli, Giorgio; Bianchi, Francesco; Baldassarri, Catia; Sala, Serenella</t>
  </si>
  <si>
    <t>Volkart, Kathrin; Mutel, Christopher L.; Panos, Evangelos</t>
  </si>
  <si>
    <t>Some, Audrey; Dandres, Thomas; Gaudreault, Caroline; Majeau-Bettez, Guillaume; Wood, Richard; Samson, Rejean</t>
  </si>
  <si>
    <t>Jones, Christopher; Gilbert, Paul</t>
  </si>
  <si>
    <t>Bohnes, Florence A.; Gregg, Jay S.; Laurent, Alexis</t>
  </si>
  <si>
    <t>Rauner, Sebastian; Budzinski, Maik</t>
  </si>
  <si>
    <t>Arushanyan, Yevgeniya; Bjorklund, Anna; Eriksson, Ola; Finnveden, Goran; Soderman, Maria Ljunggren; Sundqvist, Jan-Olov; Stenmarck, Asa</t>
  </si>
  <si>
    <t>Onat, Nuri Cihat; Kucukvar, Murat; Tatari, Omer</t>
  </si>
  <si>
    <t>Bergesen, Joseph D.; Tahkamo, Leena; Gibon, Thomas; Suh, Sangwon</t>
  </si>
  <si>
    <t>Lima, Fatima; Portugal-Pereira, Joana; Lucena, Andre F. P.; Rochedo, Pedro; Cunha, Jorge; Nunes, Manuel Lopes; Szklo, Alexandre Salem</t>
  </si>
  <si>
    <t>Nat. Resour. Forum</t>
  </si>
  <si>
    <t>Meinrenken, Christoph J.; Lackner, Klaus S.</t>
  </si>
  <si>
    <t>Modaresi, Roja; Pauliuk, Stefan; Lovik, Amund N.; Muller, Daniel B.</t>
  </si>
  <si>
    <t>Rubio Rodriguez, M. A.; Feito Cespon, M.; De Ruyck, J.; Ocana Guevara, V. S.; Verma, V. K.</t>
  </si>
  <si>
    <t>Miller, Shelie A.; Moysey, Stephen; Sharp, Benjamin; Alfaro, Jose</t>
  </si>
  <si>
    <t>Brand, Christian; Martino Tran; Anable, Jillian</t>
  </si>
  <si>
    <t>Du, J. D.; Han, W. J.; Peng, Y. H.; Cu, C. C.</t>
  </si>
  <si>
    <t>Erlandsson, M; Levin, P</t>
  </si>
  <si>
    <t>inclusion</t>
  </si>
  <si>
    <t>Huo, Da; Davies, Ben; Li, Jianxin; Alzaghrini, Nadine; Sun, Xin; Meng, Fanran; Abdul-Manan, Amir F. N.; McKechnie, Jon; Posen, I. Daniel; MacLean, Heather L.</t>
  </si>
  <si>
    <t>Wei, Shijie; Sacchi, Romain; Tukker, Arnold; Suh, Sangwon; Steubing, Bernhard</t>
  </si>
  <si>
    <t>Sacchi, Romain; Becattini, Viola; Gabrielli, Paolo; Cox, Brian; Dirnaichner, Alois; Bauer, Christian; Mazzotti, Marco</t>
  </si>
  <si>
    <t>Tang, Chen; Tukker, Arnold; Sprecher, Benjamin; Mogollon, Jose M.</t>
  </si>
  <si>
    <t>Zhong, Xiaoyang; Hu, Mingming; Deetman, Sebastiaan; Steubing, Bernhard; Lin, Hai Xiang; Hernandez, Glenn Aguilar; Harpprecht, Carina; Zhang, Chunbo; Tukker, Arnold; Behrens, Paul</t>
  </si>
  <si>
    <t>Yang, Xining; Hu, Mingming; Tukker, Arnold; Zhang, Chunbo; Huo, Tengfei; Steubing, Bernhard</t>
  </si>
  <si>
    <t>Reinert, Christiane; Deutz, Sarah; Minten, Hannah; Doerpinghaus, Lukas; von Pfingsten, Sarah; Baumgaertner, Nils; Bardow, Andre</t>
  </si>
  <si>
    <t>Comput. Chem. Eng.</t>
  </si>
  <si>
    <t>Knobloch, Florian; Hanssen, Steef V.; Lam, Aileen; Pollitt, Hector; Salas, Pablo; Chewpreecha, Unnada; Huijbregts, Mark A. J.; Mercure, Jean-Francois</t>
  </si>
  <si>
    <t>Luderer, Gunnar; Pehl, Michaja; Arvesen, Anders; Gibon, Thomas; Bodirsky, Benjamin L.; de Boer, Harmen Sytze; Fricko, Oliver; Hejazi, Mohamad; Humpenoeder, Florian; Iyer, Gokul; Mima, Silvana; Mouratiadou, Ioanna; Pietzcker, Robert C.; Popp, Alexander; van den Berg, Maarten; van Vuuren, Detlef; Hertwich, Edgar G.</t>
  </si>
  <si>
    <t>Hertwich, Edgar G.; Gibon, Thomas; Bouman, Evert A.; Arvesen, Anders; Suh, Sangwon; Heath, Garvin A.; Bergesen, Joseph D.; Ramirez, Andrea; Vega, Mabel I.; Shi, Lei</t>
  </si>
  <si>
    <t xml:space="preserve">Alaux, Nicolas; Schwark, Benedict; Hörmann, Marius; Ruschi Mendes Saade, Marcella; Passer, Alexander </t>
  </si>
  <si>
    <t xml:space="preserve">Pauliuk, Stefan; Carrer, Fabio; Heeren, Niko; Hertwich, Edgar G. </t>
  </si>
  <si>
    <t>La Picirelli de Souza, Lidiane; Lora, Electo Eduardo Silva; Hamedani, Sara Rajabi; Palacio, Jose Carlos Escobar; Cioccolanti, Luca; Villarini, Mauro; Comodi, Gabriele; Colantoni, Andrea</t>
  </si>
  <si>
    <t>Wender, Ben A.; Foley, Rider W.; Prado-Lopez, Valentina; Ravikumar, Dwarakanath; Eisenberg, Daniel A.; Hottle, Troy A.; Sadowski, Jathan; Flanagan, William P.; Fisher, Angela; Laurin, Lise; Bates, Matthew E.; Linkov, Igor; Seager, Thomas P.; Fraser, Matthew P.; Guston, David H.</t>
  </si>
  <si>
    <t>Illustrating Anticipatory Life Cycle Assessment for Emerging Photovoltaic Technologies</t>
  </si>
  <si>
    <t>Thonemann, Nils; Schulte, Anna</t>
  </si>
  <si>
    <t>Yang, Yi; Suh, Sangwon</t>
  </si>
  <si>
    <t>McKellar, Jennifer M.; Bergerson, Joule A.; Kettunen, Janne; MacLean, Heather L.</t>
  </si>
  <si>
    <t>Predicting Project Environmental Performance under Market Uncertainties: Case Study of Oil Sands Coke</t>
  </si>
  <si>
    <t>Lundie, S; Peters, GM; Beavis, PC</t>
  </si>
  <si>
    <t>Life Cycle Assessment for sustainable metropolitan water systems planning</t>
  </si>
  <si>
    <t>Walser, Tobias; Demou, Evangelia; Lang, Daniel J.; Hellweg, Stefanie</t>
  </si>
  <si>
    <t>Prospective Environmental Life Cycle Assessment of Nanosilver T-Shirts</t>
  </si>
  <si>
    <t>Gallagher, John; Styles, David; McNabola, Aonghus; Williams, A. Prysor</t>
  </si>
  <si>
    <t>Upadhyayula, Venkata K. K.; Meyer, David E.; Curran, Mary Ann; Gonzalez, Michael A.</t>
  </si>
  <si>
    <t>Evaluating the Environmental Impacts of a Nano-Enhanced Field Emission Display Using Life Cycle Assessment: A Screening-Level Study</t>
  </si>
  <si>
    <t>Warner, Ethan S.; Heath, Garvin A.</t>
  </si>
  <si>
    <t>Life Cycle Greenhouse Gas Emissions of Nuclear Electricity Generation</t>
  </si>
  <si>
    <t>Treyer, Karin; Bauer, Christian</t>
  </si>
  <si>
    <t>The environmental footprint of UAETs electricity sector: Combining life cycle assessment and scenario modeling</t>
  </si>
  <si>
    <t>Wang, Lei; Littlewood, Jade; Murphy, Richard J.</t>
  </si>
  <si>
    <t>Environmental sustainability of bioethanol production from wheat straw in the UK</t>
  </si>
  <si>
    <t>Rajaeifar, Mohammad Ali; Tabatabaei, Meisam; Ghanavati, Hossein; Khoshnevisan, Benyamin; Rafiee, Shahin</t>
  </si>
  <si>
    <t>Comparative life cycle assessment of different municipal solid waste management scenarios in Iran</t>
  </si>
  <si>
    <t>Gimeno-Frontera, Beatriz; Dolores Mainar-Toledo, Maria; Saez de Guinoa, Aitana; Zambrana-Vasquez, David; Zabalza-Bribian, Ignacio</t>
  </si>
  <si>
    <t>Sustainability of non-residential buildings and relevance of main environmental impact contributors' variability. A case study of food retail stores buildings</t>
  </si>
  <si>
    <t>Ouda, O. K. M.; Raza, S. A.; Nizami, A. S.; Rehan, M.; Al-Waked, R.; Korres, N. E.</t>
  </si>
  <si>
    <t>Waste to energy potential: A case study of Saudi Arabia</t>
  </si>
  <si>
    <t>Buyle, Matthias; Audenaert, Amaryllis; Billen, Pieter; Boonen, Katrien; Van Passel, Steven</t>
  </si>
  <si>
    <t>Weyand, Steffi; Wittich, Carolin; Schebek, Liselotte</t>
  </si>
  <si>
    <t>Environmental Performance of Emerging Photovoltaic Technologies: Assessment of the Status Quo and Future Prospects Based on a Meta-Analysis of Life-Cycle Assessment Studies</t>
  </si>
  <si>
    <t>Gibon, Thomas; Hertwich, Edgar G.; Arvesen, Anders; Singh, Bhawna; Verones, Francesca</t>
  </si>
  <si>
    <t>Tractive power in organic farming based on fuel cell technology - Energy balance and environmental load</t>
  </si>
  <si>
    <t>Integrated appraisal of a Solar Hot Water system</t>
  </si>
  <si>
    <t>Life-cycle assessment of diesel, natural gas and hydrogen fuel cell bus transportation systems</t>
  </si>
  <si>
    <t>Carbon and Water Footprints and Energy Use of Greenhouse Tomato Production in Northern Italy</t>
  </si>
  <si>
    <t>Spatial optimization of Jatropha based electricity value chains including the effect of emissions from land use change</t>
  </si>
  <si>
    <t>Consequential cradle-to-gate carbon footprint of water treatment chemicals using simple and complex marginal technologies for electricity supply</t>
  </si>
  <si>
    <t>Towards better environmental performance of wastewater sludge treatment using endpoint approach in LCA methodology</t>
  </si>
  <si>
    <t>Environmental performance of energy systems of residential buildings: Toward sustainable communities</t>
  </si>
  <si>
    <t>Managing long-term environmental aspects of wind turbines: A prospective case study</t>
  </si>
  <si>
    <t>Expanding the use of life-cycle assessment to capture induced impacts in the built environment</t>
  </si>
  <si>
    <t>From Cradle to Junkyard: Assessing the Life Cycle Greenhouse Gas Benefits of Electric Vehicles</t>
  </si>
  <si>
    <t>Prospective Life Cycle Assessment of Graphene Production by Ultrasonication and Chemical Reduction</t>
  </si>
  <si>
    <t>Prospective life cycle assessment of bio-based adipic acid production from forest residues</t>
  </si>
  <si>
    <t>Energy and environmental payback times for an NZEB retrofit</t>
  </si>
  <si>
    <t>Life cycle inventories of electricity supply through the lens of data quality: exploring challenges and opportunities</t>
  </si>
  <si>
    <t>Energy challenges for Turkey: Identifying sustainable options for future electricity generation up to 2050</t>
  </si>
  <si>
    <t>Towards sustainable production and consumption: A novel DEcision-Support Framework IntegRating Economic, Environmental and Social Sustainability (DESIRES)</t>
  </si>
  <si>
    <t>Environmental analysis of innovative sustainable composites with potential use in aviation sector-A life cycle assessment review</t>
  </si>
  <si>
    <t>Energy and environmental impacts of alternative pathways for the Portuguese road transportation sector</t>
  </si>
  <si>
    <t>Carbon Footprint of Electricity Generation in Brazil: An Analysis of the 2016-2026 Period</t>
  </si>
  <si>
    <t>A multi-period mixed-integer linear optimisation of future electricity supply considering life cycle costs and environmental impacts</t>
  </si>
  <si>
    <t>Eco-efficiency of intensification scenarios for milk production in New Zealand</t>
  </si>
  <si>
    <t>The effect of uncertainty on US transport-related GHG emissions and fuel consumption out to 2050</t>
  </si>
  <si>
    <t>Current and future technical, economic and environmental feasibility of maize and wheat residues supply for biomass energy application: Illustrated for South Africa</t>
  </si>
  <si>
    <t>The environmental performance of current and future passenger vehicles: Life cycle assessment based on a novel scenario analysis framework</t>
  </si>
  <si>
    <t>Flare gas recovery for algal protein production</t>
  </si>
  <si>
    <t>Systems-Level Analysis of Energy and Greenhouse Gas Emissions for Coproducing Biobased Fuels and Chemicals: Implications for Sustainability</t>
  </si>
  <si>
    <t>The effect of future climate scenarios on the balance between productivity and greenhouse gas emissions from sheep grazing systems</t>
  </si>
  <si>
    <t>A framework for technological learning in the supply chain: A case study on CdTe photovoltaics</t>
  </si>
  <si>
    <t>Development of a tool for rapidly assessing the implementation difficulty and emissions benefits of innovations</t>
  </si>
  <si>
    <t>Technovation</t>
  </si>
  <si>
    <t>Modeling the uptake of plug-in vehicles in a heterogeneous car market using a consumer segmentation approach</t>
  </si>
  <si>
    <t>The future of Swedish food waste: An environmental assessment of existing and prospective valorization techniques</t>
  </si>
  <si>
    <t>Evaluating the environmental performance of the high speed rail project in the Basque Country, Spain</t>
  </si>
  <si>
    <t>The Life Cycle Assessment of an Energy-Positive Peri-Urban Residence in a Tropical Regime</t>
  </si>
  <si>
    <t>Comparative life cycle assessment of current and future electricity generation systems in the Czech Republic and Poland</t>
  </si>
  <si>
    <t>Environmental life cycle assessment of electric vehicles in Poland and the Czech Republic</t>
  </si>
  <si>
    <t>Detritus</t>
  </si>
  <si>
    <t>A comprehensive study on low-carbon impact of distributed generations on regional power grids: A case of Jiangxi provincial power grid in China</t>
  </si>
  <si>
    <t>The environmental competitiveness of small modular reactors: A life cycle study</t>
  </si>
  <si>
    <t>Environmental impacts of technology learning curve for cellulosic ethanol in Brazil</t>
  </si>
  <si>
    <t>Environmental assessment of plant protection strategies using scenarios for pig feed production</t>
  </si>
  <si>
    <t>Modelling, assessing, and ranking public procurement options for a climate-friendly catering service</t>
  </si>
  <si>
    <t>Environmental and economic effects of widespread introduction of electric vehicles in Greece</t>
  </si>
  <si>
    <t>Developing technology introduction strategies based on visualized scenario analysis: Application in energy systems design</t>
  </si>
  <si>
    <t>Multi-criteria design of shale-gas-water supply chains and production systems towards optimal life cycle economics and greenhouse gas emissions under uncertainty</t>
  </si>
  <si>
    <t>Life cycle assessment of municipal solid waste source-separated collection and integrated waste management systems in Hangzhou, China</t>
  </si>
  <si>
    <t>Carbon balances of bioenergy systems using biomass from forests managed with long rotations: bridging the gap between stand and landscape assessments</t>
  </si>
  <si>
    <t>Exploitation scenarios in industrial system LCA</t>
  </si>
  <si>
    <t>The Water Withdrawal Footprint of Energy Supply to Cities Conceptual Development and Application to Denver, Colorado, USA</t>
  </si>
  <si>
    <t>Environmental burdens of source-selected biowaste treatments: comparing scenarios to fulfil the European Union landfill directive. The case of Catalonia</t>
  </si>
  <si>
    <t>Environmental Impacts of Shale Gas in the UK: Current Situation and Future Scenarios</t>
  </si>
  <si>
    <t>Sustainable urban electricity supply chain - Indicators of material recovery and energy savings from crystalline silicon photovoltaic panels end-of-life</t>
  </si>
  <si>
    <t>Modelling the influence of changing climate in present and future marine eutrophication impacts from spring barley production</t>
  </si>
  <si>
    <t>A comparative LCA of different graphene production routes</t>
  </si>
  <si>
    <t>Life cycle assessment of air transportation and the Swiss commercial air transport fleet</t>
  </si>
  <si>
    <t>The effect of charging time on the comparative environmental performance of different vehicle types</t>
  </si>
  <si>
    <t>Greening transportation and parking at University of Coimbra</t>
  </si>
  <si>
    <t>The Regional Energy &amp; Water Supply Scenarios (REWSS) model, Part I: Framework, procedure, and validation</t>
  </si>
  <si>
    <t>Consequences of Future Data Center Deployment in Canada on Electricity Generation and Environmental Impacts A 2015-2030 Prospective Study</t>
  </si>
  <si>
    <t>Current and future environmental impact of household solid waste management scenarios for a region of Brazil: carbon dioxide and energy analysis</t>
  </si>
  <si>
    <t>Environmental impacts of barley cultivation under current and future climatic conditions</t>
  </si>
  <si>
    <t>Global warming footprint of the electrochemical reduction of carbon dioxide to formate</t>
  </si>
  <si>
    <t>Life cycle assessment (LCA) of Chinese energy chains for Shandong electricity scenarios</t>
  </si>
  <si>
    <t>Highlighting regional eco-industrial development: Life cycle benefits of an urban industrial symbiosis and implications in China</t>
  </si>
  <si>
    <t>Demanufacturing photovoltaic panels: Comparison of end-of-life treatment strategies for improved resource recovery</t>
  </si>
  <si>
    <t>Potential greenhouse gas benefits of transatlantic wood pellet trade</t>
  </si>
  <si>
    <t>Energy recovery alternatives for the sustainable management of olive oil industry waste in Australia: life cycle assessment</t>
  </si>
  <si>
    <t>Solar cell metals and their hosts: A tale of oversupply and undersupply</t>
  </si>
  <si>
    <t>A hybrid life cycle assessment of public transportation buses with alternative fuel options</t>
  </si>
  <si>
    <t>Integrated waste management as a mean to promote renewable energy</t>
  </si>
  <si>
    <t>Distributed generation by energy from waste technology: A life cycle perspective</t>
  </si>
  <si>
    <t>Electricity generation from anaerobic digestion in Italy: Environmental consequences related to the changing of economic subsidies.</t>
  </si>
  <si>
    <t>Can the Life Cycle Assessment methodology be adopted to support a single farm on its environmental impacts forecast evaluation between conventional and organic production? An Italian case study</t>
  </si>
  <si>
    <t>Environmental assessment of bioproducts in development stage: The case of fiberboards made from coconut residues</t>
  </si>
  <si>
    <t>Well-to-wheel analysis of solar hydrogen production and utilization for passenger car transportation</t>
  </si>
  <si>
    <t>Closing carbon cycles: Evaluating the performance of multi-product CO2 utilisation and storage configurations in a refinery</t>
  </si>
  <si>
    <t>Sustainability assessment of electrodialysis powered by photovoltaic solar energy for freshwater production</t>
  </si>
  <si>
    <t>Life-cycle modeling for adaptive and variant design. Part 1: Methodology</t>
  </si>
  <si>
    <t>The interaction between milk and beef production and emissions from land use change - critical considerations in life cycle assessment and carbon footprint studies of milk</t>
  </si>
  <si>
    <t>How important are current energy mix choices on future sustainability? Case study: Belgium and Spain-projections towards 2020-2030</t>
  </si>
  <si>
    <t>Potential environmental impact of bioethanol production chain from fiber sorghum to be used in passenger cars</t>
  </si>
  <si>
    <t>Methodological challenges and developments in LCA of low energy buildings: Application to biogenic carbon and global warming assessment</t>
  </si>
  <si>
    <t>Current and future greenhouse gas (GHG) emissions from the management of municipal solid waste in the eThekwini Municipality - South Africa</t>
  </si>
  <si>
    <t>Trends in global warming and human health impacts related to Brazilian sugarcane ethanol production considering black carbon emissions</t>
  </si>
  <si>
    <t>Life cycle environmental balance and greenhouse gas mitigation potential of micro-hydropower energy recovery in the water industry</t>
  </si>
  <si>
    <t>Eco design LCA of an innovative lab scale plant for the production of oxygen-enriched air. Comparison between economic and environmental assessment</t>
  </si>
  <si>
    <t>Climate change impacts on life cycle greenhouse gas (GHG) emissions savings of biomethanol from corn and soybean</t>
  </si>
  <si>
    <t>Effects on Greenhouse Gas Emissions of Introducing Electric Vehicles into an Electricity System with Large Storage Capacity</t>
  </si>
  <si>
    <t>Environmental assessment of deep energy refurbishment for energy efficiency-case study of an office building in New Zealand</t>
  </si>
  <si>
    <t>A risk management approach to the economic and environmental strategic design of ethanol supply chains</t>
  </si>
  <si>
    <t>Backcasting energy futures using industrial ecology</t>
  </si>
  <si>
    <t>Impact of farming on water resources: Assessing uncertainty with Monte Carlo simulations in a global change context</t>
  </si>
  <si>
    <t>Rural domestic waste management in Zhejiang Province, China: Characteristics, current practices, and an improved strategy</t>
  </si>
  <si>
    <t>Passenger transport in Nigeria: Environmental and economic analysis with policy recommendations</t>
  </si>
  <si>
    <t>Power generation scenarios for Nigeria: An environmental and cost assessment</t>
  </si>
  <si>
    <t>Comparative environmental Life Cycle Assessment of integral revalorization of vine shoots from a biorefinery perspective</t>
  </si>
  <si>
    <t>Intuitionistic fuzzy multi-criteria decision making framework based on life cycle environmental, economic and social impacts: The case of U.S. wind energy</t>
  </si>
  <si>
    <t>An environmental comparison of biocomposite film based on orange peel-derived pectin jelly-corn starch and LDPE film: LCA and biodegradability</t>
  </si>
  <si>
    <t>Is it possible to develop biopolymer production systems independent of fossil fuels? Case study in energy profiling of polyhydroxybutyrate-valerate (PHBV)</t>
  </si>
  <si>
    <t>The environmental profile of bioethanol produced from current and potential future poplar feedstocks in the EU</t>
  </si>
  <si>
    <t>Comparative life-cycle impact assessment of concrete manufacturing in Singapore</t>
  </si>
  <si>
    <t>Computing life-cycle emissions from transitioning the electricity sector using a discrete numerical approach</t>
  </si>
  <si>
    <t>Assessing life cycle impacts and the risk and uncertainty of alternative bus technologies</t>
  </si>
  <si>
    <t>Thou shalt drive electric and hybrid vehicles: Scenario analysis on energy saving and emission mitigation for road transportation sector in China</t>
  </si>
  <si>
    <t>Discounting and the environment - Should current impacts be weighted differently than impacts harming future generations?</t>
  </si>
  <si>
    <t>Time-dependent life-cycle assessment of slag landfills with the help of scenario analysis: the example of Cd and Cu</t>
  </si>
  <si>
    <t>Life Cycle Assessment and eco-efficiency of prospective, flexible, tandem organic photovoltaic module</t>
  </si>
  <si>
    <t>A framework for performing comparative LCA between repairing flooded houses and construction of dikes in non-stationary climate with changing risk of flooding</t>
  </si>
  <si>
    <t>Combining environmentally and economically sustainable dairy and beef production in Sweden</t>
  </si>
  <si>
    <t>Revealing the Environmental Advantages of Industrial Symbiosis in Wood-Based Bioeconomy Networks: An Assessment From a Life Cycle Perspective</t>
  </si>
  <si>
    <t>Nuclear power can reduce emissions and maintain a strong economy: Rating Australia's optimal future electricity-generation mix by technologies and policies</t>
  </si>
  <si>
    <t>Environmental and Economic Implications of Distributed Additive Manufacturing: The Case of Injection Mold Tooling</t>
  </si>
  <si>
    <t>Biomass to levulinic acid: A techno-economic analysis and sustainability of biorefinery processes in Southeast Asia</t>
  </si>
  <si>
    <t>Study on GHG control scenarios by life cycle analysis - World energy outlook until 2100</t>
  </si>
  <si>
    <t>Highly Efficient 3rd Generation Multi-Junction Solar Cells Using Silicon Heterojunction and Perovskite Tandem: Prospective Life Cycle Environmental Impacts</t>
  </si>
  <si>
    <t>Effect of the use of industrial excess heat in district heating on greenhouse gas emissions: A systems perspective</t>
  </si>
  <si>
    <t>The potential contribution to climate change mitigation from temporary carbon storage in biomaterials</t>
  </si>
  <si>
    <t>Life cycle assessment for emerging technologies: Case studies for photovoltaic and wind power</t>
  </si>
  <si>
    <t>Retrospective and prospective assessment of exergy, life cycle carbon emissions, and water footprint for coking network evolution in China</t>
  </si>
  <si>
    <t>Life cycle assessment of nanoadsorbents at early stage technological development</t>
  </si>
  <si>
    <t>Projecting the environmental profile of Singapore's landfill activities: Comparisons of present and future scenarios based on LCA</t>
  </si>
  <si>
    <t>Distributed Cogeneration of Power and Heat within an Energy Management Strategy for Mitigating Fossil Fuel Consumption</t>
  </si>
  <si>
    <t>Industrial Symbiosis Centered on a Regional Cogeneration Power Plant Utilizing Available Local Resources: A Case Study of Tanegashima</t>
  </si>
  <si>
    <t>Scenario analysis for sustainable woody biomass energy businesses: The case study of a Japanese rural community</t>
  </si>
  <si>
    <t>Aggregating local, regional and global burden of disease impact assessment: detecting potential problem shifting in air quality policy making</t>
  </si>
  <si>
    <t>A Macroscopic Forecasting Framework for Estimating Socioeconomic and Environmental Performance of Intelligent Transport Highways</t>
  </si>
  <si>
    <t>Estonian electricity supply scenarios for 2020 and their environmental performance</t>
  </si>
  <si>
    <t>Field investigation and parametric study of greenhouse gas emissions from railway plain-line renewals</t>
  </si>
  <si>
    <t>Assessing environmental implications associated with global copper demand and supply scenarios from 2010 to 2050</t>
  </si>
  <si>
    <t>Environmental Impacts of Energy-Efficient Pyrometallurgical Copper Smelting Technologies: The Consequences of Technological Changes from 2010 to 2050</t>
  </si>
  <si>
    <t>Thailand Green GDP assessment based on environmentally extended input-output model</t>
  </si>
  <si>
    <t>Life cycle and emergy based design of energy systems in developing countries: Centralized and localized options</t>
  </si>
  <si>
    <t>Investigating the feasibility of a reuse scenario for textile fibres recovered from end-of-life tyres</t>
  </si>
  <si>
    <t>Epistemic and methodological challenges of dynamic environmental assessment : A case-study with energy production from solar cells</t>
  </si>
  <si>
    <t>Future development of the upstream greenhouse gas emissions from natural gas industry, focussing on Russian gas fields and export pipelines</t>
  </si>
  <si>
    <t>Development and environmental impact of hydrogen supply chain in Japan: Assessment by the CGE-LCA method in Japan with a discussion of the importance of biohydrogen</t>
  </si>
  <si>
    <t>Life cycle environmental and economic analyses of a hydrogen station with wind energy</t>
  </si>
  <si>
    <t>Exploring the Use of Ecological Footprint in Life Cycle Impact Assessment: Findings from a Comparison of Transportation Fuels</t>
  </si>
  <si>
    <t>Environmental work profiles-A Visionary Life Cycle Analysis of a week at the office</t>
  </si>
  <si>
    <t>Potential environmental benefits of prospective genetic changes in broiler traits</t>
  </si>
  <si>
    <t>From Wood to Resin-Identifying Sustainability Levers through Hotspotting Lignin Valorisation Pathways</t>
  </si>
  <si>
    <t>A generalized multistage optimization modeling framework for life cycle assessment-based integrated solid waste management</t>
  </si>
  <si>
    <t>Systematic Exploration of Efficient Strategies to Manage Solid Waste in US Municipalities: Perspectives from the Solid Waste Optimization Life-Cycle Framework (SWOLF)</t>
  </si>
  <si>
    <t>An economic and environmental assessment of carbon capture and storage (CCS) power plants: a case study for the City of Kiel</t>
  </si>
  <si>
    <t>A scenario analysis of Beijing's private traffic patterns</t>
  </si>
  <si>
    <t>Water conservation implications for decarbonizing non-electric energy supply: A hybrid life-cycle analysis</t>
  </si>
  <si>
    <t>Greenhouse gas emissions from different municipal solid waste management scenarios in China: Based on carbon and energy flow analysis</t>
  </si>
  <si>
    <t>Environmental performance evaluation of different municipal solid waste management scenarios in China</t>
  </si>
  <si>
    <t>Life cycle assessment of forecasting scenarios for urban water management: A first implementation of the WaLA model on Paris suburban area</t>
  </si>
  <si>
    <t>Environmental impact indicators for the electricity mix and network development planning towards 2050-A POLES and EUTGRID model</t>
  </si>
  <si>
    <t>Life-cycle greenhouse gas emissions and energy payback time of current and prospective silicon heterojunction solar cell designs</t>
  </si>
  <si>
    <t>Environmental impacts of construction and demolition waste management alternatives</t>
  </si>
  <si>
    <t>The Energy and Carbon Footprint of the Global ICT and E&amp;M Sectors 2010-2015</t>
  </si>
  <si>
    <t>Life cycle assessment of feedstock supply systems for cellulosic biorefineries using corn stover transported in conventional bale and densified pellet formats</t>
  </si>
  <si>
    <t>The energy payback time of advanced crystalline silicon PV modules in 2020: a prospective study</t>
  </si>
  <si>
    <t>The sustainable future of hydropower: A critical analysis of cooling units via the Theory of Inventive Problem Solving and Life Cycle Assessment methods</t>
  </si>
  <si>
    <t>Geospatial characterization of building material stocks for the life cycle assessment of end-of-life scenarios at the urban scale</t>
  </si>
  <si>
    <t>Environmentally optimal wood use in Switzerland-Investigating the relevance of material cascades</t>
  </si>
  <si>
    <t>Influence of the uptake of electric vehicles on the impact on climate change of an entire future vehicle fleet, a 2020 Brussels perspective</t>
  </si>
  <si>
    <t>Transitions of municipal solid waste management. Part II: Hybrid life cycle assessment of Swiss glass-packaging disposal</t>
  </si>
  <si>
    <t>Environmental &amp; economic life cycle assessment of current &amp; future sewage sludge to energy technologies</t>
  </si>
  <si>
    <t>Integrated environmental and economic assessment of current and future fuel cell vehicles</t>
  </si>
  <si>
    <t>Understanding the influence of climate change on the embodied energy of water supply</t>
  </si>
  <si>
    <t>Weighting of environmental trade-offs in CCS-an LCA case study of electricity from a fossil gas power plant with post-combustion CO2 capture, transport and storage</t>
  </si>
  <si>
    <t>Techno-economic and ex-ante environmental assessment of C6 sugars production from spruce and corn. Comparison of organosolv and wet milling technologies</t>
  </si>
  <si>
    <t>Future waste treatment and energy systems - examples of joint scenarios</t>
  </si>
  <si>
    <t>Life cycle analysis of biochemical cellulosic ethanol under multiple scenarios</t>
  </si>
  <si>
    <t>Greenhouse gas and energy based life cycle analysis of products from the Irish wood processing industry</t>
  </si>
  <si>
    <t>Integration of artificial intelligence methods and life cycle assessment to predict energy output and environmental impacts of paddy production</t>
  </si>
  <si>
    <t>Transit-oriented smart growth can reduce life-cycle environmental impacts and household costs in Los Angeles</t>
  </si>
  <si>
    <t>Evaluating the reduction in green house gas emissions achieved by the implementation of the household appliance recycling in Japan</t>
  </si>
  <si>
    <t>Financial and environmental analysis of rooftop photovoltaic installations with battery storage in Australia</t>
  </si>
  <si>
    <t>Eco-efficient production of spring barley in a changed climate: A Life Cycle Assessment including primary data from future climate scenarios</t>
  </si>
  <si>
    <t>How to manage uncertainty in future Life Cycle Assessment (LCA) scenarios addressing the effect of climate change in crop production</t>
  </si>
  <si>
    <t>Assessing the energy and greenhouse gas footprints of nickel laterite processing</t>
  </si>
  <si>
    <t>Spatial and temporal specific characterisation factors for water use impact assessment in Spain</t>
  </si>
  <si>
    <t>Future forecast for life-cycle greenhouse gas emissions of LNG and city gas 13A</t>
  </si>
  <si>
    <t>Integrating enzyme fermentation in lignocellulosic ethanol production: life-cycle assessment and techno-economic analysis</t>
  </si>
  <si>
    <t>Conventional, hybrid, plug-in hybrid or electric vehicles? State-based comparative carbon and energy footprint analysis in the United States</t>
  </si>
  <si>
    <t>Evaluating climate change mitigation potential of hydrochars: compounding insights from three different indicators</t>
  </si>
  <si>
    <t>Development of environmental load-estimating model for road planning phase: Focus on road earthwork</t>
  </si>
  <si>
    <t>Auto shredder residue LCA: implications of ASR composition evolution</t>
  </si>
  <si>
    <t>Algae biodiesel life cycle assessment using current commercial data</t>
  </si>
  <si>
    <t>The impact of future scenarios on building refurbishment strategies towards plus energy buildings</t>
  </si>
  <si>
    <t>Assessing future energy and transport systems: The case of fuel cells Part I: Methodological aspects</t>
  </si>
  <si>
    <t>Dynamic life cycle assessment (LCA) of renewable energy technologies</t>
  </si>
  <si>
    <t>Future scenarios for climate mitigation of new construction in Sweden: Effects of different technological pathways</t>
  </si>
  <si>
    <t>ENVI-PV: an interactive Web Client for multi-criteria life cycle assessment of photovoltaic systems worldwide</t>
  </si>
  <si>
    <t>Life Cycle Assessment of a heavy metro train</t>
  </si>
  <si>
    <t>Reliability-based life cycle assessment for future solid waste management alternatives in Portugal</t>
  </si>
  <si>
    <t>Comparative life cycle assessment of fired brick production in Thailand</t>
  </si>
  <si>
    <t>Material flows accounting for Scotland shows the merits of a circular economy and the folly of territorial carbon reporting</t>
  </si>
  <si>
    <t>Prospective technology studies with a life cycle perspective</t>
  </si>
  <si>
    <t>Life cycle impacts and costs of photovoltaic systems: Current state of the art and future outlooks</t>
  </si>
  <si>
    <t>Global environmental consequences of increased biodiesel consumption in Switzerland: consequential life cycle assessment</t>
  </si>
  <si>
    <t>Incorporating life cycle external cost in optimization of the electricity generation mix</t>
  </si>
  <si>
    <t>Improving integrated waste management at the regional level: The case of Lombardia</t>
  </si>
  <si>
    <t>Heat pumps versus combined heat and power production as CO2 reduction measures in Finland</t>
  </si>
  <si>
    <t>Environmental impact comparison of a ventilated and a non-ventilated building-integrated photovoltaic rooftop design in the Netherlands: Electricity output, energy payback time, and land claim</t>
  </si>
  <si>
    <t>Modelling road transport technologies in future scenarios: Theoretical comparison and application of Well-to-Wheels and Input-Output analyses</t>
  </si>
  <si>
    <t>Emissions associated with meeting the future global wheat demand: A case study of UK production under climate change constraints</t>
  </si>
  <si>
    <t>Ex-ante environmental assessments of novel technologies - Improved caprolactam catalysis and hydrogen storage</t>
  </si>
  <si>
    <t>Using water scarcity footprint to choose the most suitable location for forest carbon sinks: A case study</t>
  </si>
  <si>
    <t>Environmental implications and market analysis of soft drink packaging systems in Mexico. A waste management approach</t>
  </si>
  <si>
    <t>Direct and indirect land-use change as prospective climate change indicators for peri-urban development transitions</t>
  </si>
  <si>
    <t>Greenhouse Gas Implications of Peri-Urban Land Use Change in a Developed City under Four Future Climate Scenarios</t>
  </si>
  <si>
    <t>Land</t>
  </si>
  <si>
    <t>Integrating climate change and energy mix scenarios in LCA of buildings and districts</t>
  </si>
  <si>
    <t>Moving down the cause-effect chain of water and land use impacts: An LCA case study of textile fibres</t>
  </si>
  <si>
    <t>Life cycle assessment of construction materials: the influence of assumptions in end-of-life modelling</t>
  </si>
  <si>
    <t>Scenarios for the future Brazilian power sector based on a multi criteria assessment</t>
  </si>
  <si>
    <t>Opportunities to improve the net energy performance of photoelectrochemical water-splitting technology</t>
  </si>
  <si>
    <t>A new model for environmental and economic evaluation of renewable energy systems: The case of wind turbines</t>
  </si>
  <si>
    <t>Production of Pig Feed under Future Atmospheric CO2 Concentrations: Changes in Crop Content and Chemical Composition, Land Use, Environmental Impact, and Socio-Economic Consequences</t>
  </si>
  <si>
    <t>A scenario analysis of the life cycle greenhouse gas emissions of a new residential area</t>
  </si>
  <si>
    <t>Life cycle assessment of second generation (2G) and third generation (3G) mobile phone networks</t>
  </si>
  <si>
    <t>Environmental analysis of a German strategy for carbon capture and storage of coal power plants</t>
  </si>
  <si>
    <t>An Ex-ante LCA Study of Rare Earth Extraction from NdFeB Magnet Scrap Using Molten Salt Electrolysis</t>
  </si>
  <si>
    <t>Assessment of the Anticipated Environmental Footprint of Future Nuclear Energy Systems. Evidence of the Beneficial Effect of Extensive Recycling</t>
  </si>
  <si>
    <t>Co-digestion of rice straw and cow dung to supply cooking fuel and fertilizers in rural India: Impact on human health, resource flows and climate change</t>
  </si>
  <si>
    <t>Recurrent carbon footprint assessment and forecasting for conventional housing in tropical regions: A Malaysian case study</t>
  </si>
  <si>
    <t>A framework for planning sustainable seawater desalination water supply</t>
  </si>
  <si>
    <t>The environmental impact of dairy production on poorly drained soils under future climate scenarios for Ireland</t>
  </si>
  <si>
    <t>An advanced concrete recycling technology and its applicability assessment through input-output analysis</t>
  </si>
  <si>
    <t>Electric and plug-in hybrid vehicles influence on CO2 and water vapour emissions</t>
  </si>
  <si>
    <t>A life-cycle perspective on automotive fuel cells</t>
  </si>
  <si>
    <t>Scenarios for the environmental impact of fossil fuel power: Co-benefits and trade-offs of carbon capture and storage</t>
  </si>
  <si>
    <t>Transient trade-off between climate benefit and biodiversity loss of harvesting stumps for bioenergy</t>
  </si>
  <si>
    <t>Environmental impact of future milk supply chains in Sweden: a scenario study</t>
  </si>
  <si>
    <t>Paths to a sustainable food sector: integrated design and LCA of future food supply chains: the case of pork production in Sweden</t>
  </si>
  <si>
    <t>Social life cycle assessment of first and second-generation ethanol production technologies in Brazil</t>
  </si>
  <si>
    <t>Environmental rebound effects of high-speed transport technologies: a case study of climate change rebound effects of a future underground maglev train system</t>
  </si>
  <si>
    <t>Life cycle sustainability assessment of UK electricity scenarios to 2070</t>
  </si>
  <si>
    <t>Environmental Impacts of Photovoltaics: The Effects of Technological Improvements and Transfer of Manufacturing from Europe to China</t>
  </si>
  <si>
    <t>Sustainable development of food production: A case study on scenarios for pig production</t>
  </si>
  <si>
    <t>Dynamic LCA framework for environmental impact assessment of buildings</t>
  </si>
  <si>
    <t>Environmental and economic evaluation of pre-disaster plans for disaster waste management: Case study of Minami-Ise, Japan</t>
  </si>
  <si>
    <t>Life cycle assessment of conventional and advanced two-stage energy-from-waste technologies for methane production</t>
  </si>
  <si>
    <t>Life cycle assessment of future electric and hybrid vehicles: A cradle-to-grave systems engineering approach</t>
  </si>
  <si>
    <t>Life cycle environmental and economic analysis of pulverized coal oxy-fuel combustion combining with calcium looping process or chemical looping air separation</t>
  </si>
  <si>
    <t>The influence of the level of definition of functional specifications on the environmental performances of a complex system. EcoCSP approach</t>
  </si>
  <si>
    <t>Ex-ante Life Cycle Assessment approach developed for a case study on bio-based polybutylene succinate</t>
  </si>
  <si>
    <t>Environmental consequences of adaptation to climate change in Swiss agriculture: An analysis at farm level</t>
  </si>
  <si>
    <t>The potential of microalgae biorefineries in Belgium and India: An environmental techno-economic assessment</t>
  </si>
  <si>
    <t>Comparative life cycle assessment of biowaste to resource management systems - A Danish case study</t>
  </si>
  <si>
    <t>LCA of biomass-based energy systems: A case study for Denmark</t>
  </si>
  <si>
    <t>Material resources, energy, and nutrient recovery from waste: Are waste refineries the solution for the future?</t>
  </si>
  <si>
    <t>A comparative human health, ecotoxicity, and product environmental assessment on the production of organic and silicon solar cells</t>
  </si>
  <si>
    <t>Emissions from cycling of thermal power plants in electricity systems with high penetration of wind power: Life cycle assessment for Ireland</t>
  </si>
  <si>
    <t>Environmental impacts of future low-carbon electricity systems: Detailed life cycle assessment of a Danish case study</t>
  </si>
  <si>
    <t>Environmental optimization of biomass use for energy under alternative future energy scenarios for Switzerland</t>
  </si>
  <si>
    <t>Using a multi-method approach for decision-making about a sustainable local distributed energy system: A case study from Finland</t>
  </si>
  <si>
    <t>Life cycle assessment of emerging technologies: The case of milk ultra-high pressure homogenisation</t>
  </si>
  <si>
    <t>The use of temporal dynamics for the automatic calculation of land use impacts in LCA using R programming environment</t>
  </si>
  <si>
    <t>Dynamic metabolism modelling of urban water services - Demonstrating effectiveness as a decision-support tool for Oslo, Norway</t>
  </si>
  <si>
    <t>Methodology for determining life-cycle environmental impacts due to material and energy flows in wastewater pipeline networks: A case study of Oslo (Norway)</t>
  </si>
  <si>
    <t>Life cycle assessment and eco-efficiency analysis of drinking cups used at public events</t>
  </si>
  <si>
    <t>The potential role of concentrated solar power (CSP) in Africa and Europe-A dynamic assessment of technology development, cost development and life cycle inventories until 2050</t>
  </si>
  <si>
    <t>Comparison of carbon capture and storage with renewable energy technologies regarding structural, economic, and ecological aspects in Germany</t>
  </si>
  <si>
    <t>Assessing the end-of-life impacts of buildings</t>
  </si>
  <si>
    <t>A suggested three-tiered approach to assessing the implications of nanotechnology and influencing its development</t>
  </si>
  <si>
    <t>An assessment methodology of sustainable energy transition scenarios for realizing energy neutral neighborhoods</t>
  </si>
  <si>
    <t>Impacts on water consumption of power sector in major emitting economies under INDC and longer term mitigation scenarios: An input-output based hybrid approach</t>
  </si>
  <si>
    <t>Carbon Footprint Analysis for Mechanization of Maize Production Based on Life Cycle Assessment: A Case Study in Jilin Province, China</t>
  </si>
  <si>
    <t>An economic and environmental evaluation for bamboo-derived bioethanol</t>
  </si>
  <si>
    <t>Economic and GHG emissions analyses for sugarcane ethanol in Brazil: Looking forward</t>
  </si>
  <si>
    <t>Can propulsion and fuel diversity for the bus fleet achieve the win-win strategy of energy conservation and environmental protection?</t>
  </si>
  <si>
    <t>Carbon dioxide mitigation target of China in 2020 and key economic sectors</t>
  </si>
  <si>
    <t>Assessing cost-effectiveness of bioretention on stormwater in response to climate change and urbanization for future scenarios</t>
  </si>
  <si>
    <t>Life cycle assessment of integrated seawater agriculture in the Arabian (Persian) Gulf as a potential food and aviation biofuel resource</t>
  </si>
  <si>
    <t>Hybrid Input-Output Life Cycle Assessment of First- and Second-Generation Ethanol Production Technologies in Brazil</t>
  </si>
  <si>
    <t>Carbon emissions of urban power grid in Jing-Jin-Ji region: Characteristics and influential factors</t>
  </si>
  <si>
    <t>Consequential life cycle air emissions externalities for plug-in electric vehicles in the PJM interconnection</t>
  </si>
  <si>
    <t>Generating low-carbon heat from biomass: Life cycle assessment of bioenergy scenarios</t>
  </si>
  <si>
    <t>Carbon pool and substitution effects of an increased use of wood in buildings in Switzerland: first estimates</t>
  </si>
  <si>
    <t>Climate change influence on building lifecycle greenhouse gas emissions: Case study of a UK mixed-use development</t>
  </si>
  <si>
    <t>Environmental effects of shifts in a regional heating mix through variations in the utilization of solid biofuels</t>
  </si>
  <si>
    <t>Environmental assessment of food waste valorization in producing biogas for various types of energy use based on LCA approach</t>
  </si>
  <si>
    <t>The Effects of an Energy Use Paradigm Shift on Carbon Emissions: A Simulation Study</t>
  </si>
  <si>
    <t>Integrated multi-objective optimization framework for urban water supply systems under alternative climates and future policy</t>
  </si>
  <si>
    <t>Forecasting the design of eco-products by integrating TRIZ evolution patterns with CBR and Simple LCA methods</t>
  </si>
  <si>
    <t>Life cycle assessment of hydrogenated biodiesel production from waste cooking oil using the catalytic cracking and hydrogenation method</t>
  </si>
  <si>
    <t>Energy recovery and greenhouse gas reduction potential from food waste in Japan</t>
  </si>
  <si>
    <t>Integration of life cycle assessment and population balance model for assessing environmental impacts of product population in a social scale - Case studies for the global warming potential of air conditioners in Japan</t>
  </si>
  <si>
    <t>Development and application of a life cycle greenhouse gas emission analysis model for mobile air conditioning systems</t>
  </si>
  <si>
    <t>Deciphering the uncertainties in life cycle energy and environmental analysis of organic photovoltaics</t>
  </si>
  <si>
    <t>A hybrid copula and life cycle analysis approach for evaluating violation risks of GHG emission targets in food production under urbanization</t>
  </si>
  <si>
    <t>Curaua fibers in the automobile industry - a sustainability assessment</t>
  </si>
  <si>
    <t>Greenhouse gas emissions reduction in China by cleaner coal technology towards 2020</t>
  </si>
  <si>
    <t>Environmental impact assessment of solid waste management in Beijing City, China</t>
  </si>
  <si>
    <t>Life-cycle greenhouse gas emission and energy use of bioethanol produced from corn stover in China: Current perspectives and future prospectives</t>
  </si>
  <si>
    <t>Life-cycle assessment and techno-economic analysis of the utilization of bio-oil components for the production of three chemicals</t>
  </si>
  <si>
    <t>Are public payments for organic farming cost-effective? Combining a decision-support model with LCA</t>
  </si>
  <si>
    <t>Life cycle assessment of wheat straw lignocellulosic bio-ethanol fuel in a local biorefinery prospective</t>
  </si>
  <si>
    <t>Bisinella (2021)</t>
  </si>
  <si>
    <t>Energy and Environmental Contributions for Future Natural Gas Supply Planning in Brazil</t>
  </si>
  <si>
    <t>Prospective cost and environmental impact assessment of battery and fuel cell electric vehicles in Germany</t>
  </si>
  <si>
    <t>Evaluation of future food waste management alternatives in Istanbul from the life cycle assessment perspective</t>
  </si>
  <si>
    <t>Indonesian aquaculture futures-identifying interventions for reducing environmental impacts</t>
  </si>
  <si>
    <t>Comprehensive assessment of regional food-energy-water nexus with GIS-based tool</t>
  </si>
  <si>
    <t>A dynamic life cycle assessment of green infrastructures</t>
  </si>
  <si>
    <t>Interdisciplinary collaborations to address the uncertainty problem in life cycle assessment of nano-enabled products: case of the quantum dot-enabled display</t>
  </si>
  <si>
    <t>Life Cycle Assessment of Different Low-Temperature District Heating Development Scenarios: A Case Study of Municipality in Latvia</t>
  </si>
  <si>
    <t>Consequences of long-term infrastructure decisions?the case of self-healing roads and their CO2 emissions</t>
  </si>
  <si>
    <t>Prospective Life Cycle Assessment of a Structural Battery</t>
  </si>
  <si>
    <t>An energy-led sustainability assessment of production systems - An approach for improving energy efficiency performance</t>
  </si>
  <si>
    <t>Aligning sustainability assessment with responsible research and innovation: Towards a framework for Constructive Sustainability Assessment</t>
  </si>
  <si>
    <t>A new approach for sustainable design scenarios selection: A case study in a tunisian company</t>
  </si>
  <si>
    <t>Environmental Assessment of Energy Scenarios for a Low-Carbon Electrical Network in Chile</t>
  </si>
  <si>
    <t>Comparative whole-building life cycle assessment of renovation and new construction</t>
  </si>
  <si>
    <t>A life-cycle assessment of battery electric and internal combustion engine vehicles: A case in Hebei Province, China</t>
  </si>
  <si>
    <t>GHG evaluation and mitigation planning for low carbon city case study: Dan Sai Municipality</t>
  </si>
  <si>
    <t>Integration of LCA in the Planning Phases of Adaptive Buildings</t>
  </si>
  <si>
    <t>Life cycle environmental assessment of charging infrastructure for electric vehicles in China</t>
  </si>
  <si>
    <t>Environmental assessment of additive manufacturing in the automotive industry</t>
  </si>
  <si>
    <t>Innovative alternatives to methanol manufacture: Carbon footprint assessment</t>
  </si>
  <si>
    <t>LCA of Hospital Solid Waste Treatment Alternatives in a Developing Country: The Case of District Swat, Pakistan</t>
  </si>
  <si>
    <t>Life cycle assessment of end-of-life treatments of waste plastics in China</t>
  </si>
  <si>
    <t>Prospective study of lignin-based and recycled carbon fibers in composites through meta-analysis of life cycle assessments</t>
  </si>
  <si>
    <t>Applying Environmental Release Inventories and Indicators to the Evaluation of Chemical Manufacturing Processes in Early Stage Development</t>
  </si>
  <si>
    <t>Analysis of the Belgian electricity mix used in environmental life cycle assessment studies: how reliable is the ecoinvent 3.1 mix?</t>
  </si>
  <si>
    <t>Environmental Impact Assessment of Wood Use in Japan through 2050 Using Material Flow Analysis and Life Cycle Assessment</t>
  </si>
  <si>
    <t>Uncertainty and Variability of Energy and Material Use by Fused Deposition Modeling Printers in Makerspaces</t>
  </si>
  <si>
    <t>A Life Cycle Perspective to Assess the Environmental and Economic Impacts of Innovative Technologies in Extra Virgin Olive Oil Extraction</t>
  </si>
  <si>
    <t>Integrating Batteries in the Future Swiss Electricity Supply System: A Consequential Environmental Assessment</t>
  </si>
  <si>
    <t>Holistic multi-criteria decision analysis evaluation of sustainable electric generation portfolios: New England case study</t>
  </si>
  <si>
    <t>Greenhouse Gas Emissions in the United States Food System: Current and Healthy Diet Scenarios</t>
  </si>
  <si>
    <t>Coupling economic and GHG emission accounting models to evaluate the sustainability of biogas policies</t>
  </si>
  <si>
    <t>Life Cycle Assessment of prospective MSW management based on integrated management planning in Campo Grande, Brazil</t>
  </si>
  <si>
    <t>Sustainable use of Hermetia illucens insect biomass for feed and food: Attributional and consequential life cycle assessment</t>
  </si>
  <si>
    <t>A Prospective Life Cycle Assessment (LCA) of Monomer Synthesis: Comparison of Biocatalytic and Oxidative Chemistry</t>
  </si>
  <si>
    <t>A new quantitative life cycle sustainability assessment framework: Application to integrated energy systems</t>
  </si>
  <si>
    <t>Design under uncertainty of carbon capture, utilization and storage infrastructure considering profit, environmental impact, and risk preference</t>
  </si>
  <si>
    <t>Life cycle assessment and tempo-spatial optimization of deploying dynamic wireless charging technology for electric cars</t>
  </si>
  <si>
    <t>A LIFE CYCLE ASSESSMENT OF ENERGY FROM WASTE AND RECYCLING IN A POST-CARBON FUTURE</t>
  </si>
  <si>
    <t>Prospective environmental and economic assessment of solar-assisted thermal energy recovery from wastewater through a sequencing batch biofilter granular reactor</t>
  </si>
  <si>
    <t>Green chemistry for stainless steel corrosion resistance: life cycle assessment of citric acid versus nitric acid passivation</t>
  </si>
  <si>
    <t>Environmental optimisation of mine scheduling through life cycle assessment integration</t>
  </si>
  <si>
    <t>Environmental consequences of different electricity generation mixes in Sri Lanka by 2050</t>
  </si>
  <si>
    <t>Environmental and economic assessment of electro-dewatering application to sewage sludge: A case study of an Italian wastewater treatment plant</t>
  </si>
  <si>
    <t>Adapting Stand-Alone Renewable Energy Technologies for the Circular Economy through Eco-Design and Recycling</t>
  </si>
  <si>
    <t>LCA modelling for Zero Emission Neighbourhoods in early stage planning</t>
  </si>
  <si>
    <t>Life Cycle Assessment of Silicon-Nanotube-Based Lithium Ion Battery for Electric Vehicles</t>
  </si>
  <si>
    <t>Lifestyle, efficiency and limits: modelling transport energy and emissions using a socio-technical approach</t>
  </si>
  <si>
    <t>The role of life cycle assessment in the sustainable transition to a decarbonised gas network through green gas production</t>
  </si>
  <si>
    <t>Using Genuine Savings for Climate Policy Evaluation with an Integrated Assessment Model</t>
  </si>
  <si>
    <t>Chinese household food waste and its' climatic burden driven by urbanization: A Bayesian Belief Network modelling for reduction possibilities in the context of global efforts</t>
  </si>
  <si>
    <t>Life cycle assessment of castor-based biorefinery: a well to wheel LCA</t>
  </si>
  <si>
    <t>METHOD FOR ASSESSING THE NATIONAL IMPLICATIONS OF ENVIRONMENTAL IMPACTS FROM TIMBER BUILDINGS-AN EXEMPLARY STUDY FOR RESIDENTIAL BUILDINGS IN GERMANY</t>
  </si>
  <si>
    <t>Inventories and reduction scenarios of urban waste-related greenhouse gas emissions for management potential</t>
  </si>
  <si>
    <t>Impacts of Decarbonisation on the Water-Energy-Land (WEL) Nexus: A Case Study of the Spanish Electricity Sector</t>
  </si>
  <si>
    <t>Life cycle assessment of large scale timber bridges: A case study from the world's longest timber bridge design in Norway</t>
  </si>
  <si>
    <t>Life-cycle energy impacts for adapting an urban water supply system to droughts</t>
  </si>
  <si>
    <t>Assessment of environmental impacts and operational costs of the implementation of an innovative source-separated urine treatment</t>
  </si>
  <si>
    <t>Life Cycle Inventory Analysis of Prospective Insect Based Feed Production in West Africa</t>
  </si>
  <si>
    <t>Indonesian aquaculture futures - Evaluating environmental and socioeconomic potentials and limitations</t>
  </si>
  <si>
    <t>A perspective for reducing environmental impacts of mussel culture in Algeria</t>
  </si>
  <si>
    <t>Seaweed as innovative feedstock for energy and feed - Evaluating the impacts through a Life Cycle Assessment</t>
  </si>
  <si>
    <t>The analysis of the battery electric vehicle's potentiality of environmental effect: A case study of Beijing from 2016 to 2020</t>
  </si>
  <si>
    <t>Using life cycle assessment for municipal solid waste management in Tehran Municipality Region 20</t>
  </si>
  <si>
    <t>The life cycle greenhouse gas implications of a UK gas supply transformation on a future low carbon electricity sector</t>
  </si>
  <si>
    <t>Life cycle assessment of macroalgal biorefinery for the production of ethanol, proteins and fertilizers - A step towards a regenerative bioeconomy</t>
  </si>
  <si>
    <t>Life-cycle assessment of cradle-to-grave opportunities and environmental impacts of organic photovoltaic solar panels compared to conventional technologies</t>
  </si>
  <si>
    <t>Beyond 'Dieselgate': Implications of unaccounted and future air pollutant emissions and energy use for cars in the United Kingdom</t>
  </si>
  <si>
    <t>Comparative life-cycle energy analysis of a new and an existing house: The significance of occupant's habits, building systems and embodied energy</t>
  </si>
  <si>
    <t>Estimating the environmental footprint of barley with improved nitrogen uptake efficiency-a Swedish scenario study</t>
  </si>
  <si>
    <t>Bioextraction potential of seaweed in Denmark - An instrument for circular nutrient management</t>
  </si>
  <si>
    <t>Scenario analysis of CO2 emissions from China's civil aviation industry through 2030</t>
  </si>
  <si>
    <t>Life cycle carbon emissions assessment using an eco-demonstrator aircraft: the case of an ecological wing design</t>
  </si>
  <si>
    <t>Assessing sustainability of winter wheat production under climate change scenarios in a humid climate - An integrated modelling framework</t>
  </si>
  <si>
    <t>Marginal yield, technological advances, and emissions timing in corn ethanol's carbon payback time</t>
  </si>
  <si>
    <t>Sustainability assessment of energy systems: integrating environmental, economic and social aspects</t>
  </si>
  <si>
    <t>Assessing the design paradox with life cycle assessment: A case study of a municipal solid waste incineration plant</t>
  </si>
  <si>
    <t>Environmental Implications of United States Coal Exports: A Comparative Life Cycle Assessment of Future Power System Scenarios</t>
  </si>
  <si>
    <t>Applying resource efficiency principles to the analysis of EU-27 bioenergy options by 2020-Findings from a recent study for the European Environment Agency</t>
  </si>
  <si>
    <t>Cob biomass supply for combined heat and power and biofuel in the north central USA</t>
  </si>
  <si>
    <t>Renewable fuels - A comparative assessment from economic, energetic and ecological point-of-view up to 2050 in EU-countries</t>
  </si>
  <si>
    <t>Early-Stage Comparative Sustainability Assessment of New Bio-based Processes</t>
  </si>
  <si>
    <t>Modeling Future Life-Cycle Greenhouse Gas Emissions and Environmental Impacts of Electricity Supplies in Brazil</t>
  </si>
  <si>
    <t>Environmental assessment of waste management in Greenland: current practice and potential future developments</t>
  </si>
  <si>
    <t>Exploring sustainable farming scenarios at a regional scale: an application to dairy farms in Brittany</t>
  </si>
  <si>
    <t>Technology Limits for Reducing EU Transport Sector CO2 Emissions</t>
  </si>
  <si>
    <t>Modeling the Local Biodiversity Impacts of Agricultural Water Use: Case Study of a Wetland in the Coastal Arid Area of Peru</t>
  </si>
  <si>
    <t>Radiative Forcing Impacts of Boreal Forest Biofuels: A Scenario Study for Norway in Light of Albedo</t>
  </si>
  <si>
    <t>Environmental Consequences of Future Biogas Technologies Based on Separated Slurry</t>
  </si>
  <si>
    <t>Long-Term Bioethanol System and Its Implications on GHG Emissions: A Case Study of Thailand</t>
  </si>
  <si>
    <t>Hydrogen Production from Fossil Fuels: Life Cycle Assessment of Technologies with Low Greenhouse Gas Emissions</t>
  </si>
  <si>
    <t>Policy Implications of Uncertainty in Modeled Life-Cycle Greenhouse Gas Emissions of Biofuels</t>
  </si>
  <si>
    <t>Prospective CO2 emissions from energy supplying systems: photovoltaic systems and conventional grid within Spanish frame conditions</t>
  </si>
  <si>
    <t>Combined MFA-LCA for Analysis of Wastewater Pipeline Networks Case Study of Oslo, Norway</t>
  </si>
  <si>
    <t>Environmental decision support for the construction of a Green mountain hut</t>
  </si>
  <si>
    <t>LCA of Danish fish products - New methods and insights</t>
  </si>
  <si>
    <t>Life cycle assessment of water production technologies - Part 2: Reverse osmosis desalination versus the Ebro River Water Transfer</t>
  </si>
  <si>
    <t>Scenario modelling in prospective LCA of transport systems - Application of formative scenario analysis</t>
  </si>
  <si>
    <t>An integrated decision support framework for the prediction and evaluation of efficiency, environmental impact and total social cost of domestic and international forestry projects for greenhouse gas mitigation: description and case studies</t>
  </si>
  <si>
    <t>Life cycle assessment of fuel cell vehicles - A methodology example of input data treatment for future technologies</t>
  </si>
  <si>
    <t>A structured framework and language for scenario-based life cycle assessment</t>
  </si>
  <si>
    <t>Multi-product biorefineries from lignocelluloses: a pathway to revitalisation of the sugar industry?</t>
  </si>
  <si>
    <t>Could urban electric public bus really reduce the GHG emissions: A case study in Macau?</t>
  </si>
  <si>
    <t>Hermansson, Frida; Janssen, Matty; Svanstrom, Magdalena</t>
  </si>
  <si>
    <t>Bekel, Kai; Pauliuk, Stefan</t>
  </si>
  <si>
    <t>Sakamoto, Hugo; Maciel, Michelli; Cardoso, Fernando Henrique; Kulay, Luiz</t>
  </si>
  <si>
    <t>Guven, Huseyin; Wang, Zhao; Eriksson, Ola</t>
  </si>
  <si>
    <t>Henriksson, Patrik John Gustav; Banks, Lauren K.; Suri, Sharon K.; Pratiwi, Trini Y.; Fatan, Nurulhuda Ahmad; Troell, Max</t>
  </si>
  <si>
    <t>Lin, Ying-Chen; Lin, Chia-Chun; Lee, Mengshan; Chiueh, Pei-Te; Lo, Shang-Lien; Liou, Ming-Lone</t>
  </si>
  <si>
    <t>Bixler, Taler S.; Houle, James; Ballestero, Thomas; Mo, Weiwei</t>
  </si>
  <si>
    <t>Chopra, Shauhrat S.; Bi, Yuqiang; Brown, Frank C.; Theis, Thomas L.; Hristovski, Kiril; Westerhoff, Paul</t>
  </si>
  <si>
    <t>Environ. Sci.-Nano</t>
  </si>
  <si>
    <t>Feofilovs, Maksims; Pakere, Ieva; Romagnoli, Francesco</t>
  </si>
  <si>
    <t>SCIENDO</t>
  </si>
  <si>
    <t>Environ. Clim. Technol.</t>
  </si>
  <si>
    <t>Osterbring, Magnus; Mata, Erika; Thuvander, Liane; Wallbaum, Holger</t>
  </si>
  <si>
    <t>Explorative life-cycle assessment of renovating existing urban housingstocks</t>
  </si>
  <si>
    <t>Rodriguez-Alloza, Ana Maria; Heihsel, Michael; Fry, Jacob; Gallego, Juan; Geschke, Arne; Wood, Richard; Lenzen, Manfred</t>
  </si>
  <si>
    <t>Zackrisson, Mats; Jonsson, Christina; Johannisson, Wilhelm; Fransson, Kristin; Posner, Stefan; Zenkert, Dan; Lindbergh, Goran</t>
  </si>
  <si>
    <t>Chao, Hsun; Agusdinata, Datu Buyung; DeLaurentis, Daniel; Stechel, Ellen B.</t>
  </si>
  <si>
    <t>Carbon offsetting and reduction scheme with sustainable aviation fuel options: Fleet-level carbon emissions impacts for US airlines</t>
  </si>
  <si>
    <t>Kluczek, Aldona</t>
  </si>
  <si>
    <t>Int. J. Prod. Econ.</t>
  </si>
  <si>
    <t>Matthews, Nicholas E.; Stamford, Laurence; Shapira, Philip</t>
  </si>
  <si>
    <t>Sansa, Manel; Badreddine, Ahmed; Ben Romdhane, Taieb</t>
  </si>
  <si>
    <t>Merino, Ivan; Herrera, Israel; Valdes, Hugo</t>
  </si>
  <si>
    <t>Hasik, Vaclav; Escott, Elizabeth; Bates, Roderick; Carlisle, Stephanie; Faircloth, Billie; Bilec, Melissa M.</t>
  </si>
  <si>
    <t>Shi, Sainan; Zhang, Haoran; Yang, Wen; Zhang, Qianru; Wang, Xuejun</t>
  </si>
  <si>
    <t>Sununta, Netchanakan; Kongboon, Ratchayuda; Sampattagul, Sate</t>
  </si>
  <si>
    <t>Hildebrandt, Jakob; O'Keeffe, Sinead; Bezama, Alberto; Thraen, Daniela</t>
  </si>
  <si>
    <t>Schlegl, Friederike; Honold, Clemens; Leistner, Sophia; Albrecht, Stefan; Roth, Daniel; Haase, Walter; Leistner, Philip; Binz, Hansgeorg; Sobek, Werner</t>
  </si>
  <si>
    <t>Zhang, Zhan; Sun, Xin; Ding, Ning; Yang, Jianxin</t>
  </si>
  <si>
    <t>Bockin, Daniel; Tillman, Anne-Marie</t>
  </si>
  <si>
    <t>Rumayor, M.; Dominguez-Ramos, A.; Irabien, A.</t>
  </si>
  <si>
    <t>Ahmad, Riaz; Liu, Gengyuan; Santagata, Remo; Casazza, Marco; Xue, Jingyan; Khan, Kifayatullah; Nawab, Javed; Ulgiati, Sergio; Lega, Massimiliano</t>
  </si>
  <si>
    <t>Chen, Yuedong; Cui, Zhaojie; Cui, Xiaowei; Liu, Wei; Wang, Xinlei; Li, XinXin; Li, Shouxiu</t>
  </si>
  <si>
    <t>Glogic, Edis; Adan-Mas, Alberto; Sonnemann, Guido; Montemor, Maria de Fatima; Guerlou-Demourgues, Liliane; Young, Steven B.</t>
  </si>
  <si>
    <t>Smith, Raymond L.; Tan, Eric C. D.; Ruiz-Mercado, Gerardo J.</t>
  </si>
  <si>
    <t>Buyle, Matthias; Anthonissen, Joke; Van den Bergh, Wim; Braet, Johan; Audenaert, Amaryllis</t>
  </si>
  <si>
    <t>Energy Effic.</t>
  </si>
  <si>
    <t>Kayo, Chihiro; Dente, Sebastien M. R.; Aoki-Suzuki, Chika; Tanaka, Daisuke; Murakami, Shinsuke; Hashimoto, Seiji</t>
  </si>
  <si>
    <t>Song, Ruoyu; Clemon, Lee; Telenko, Cassandra</t>
  </si>
  <si>
    <t>Stillitano, Teodora; Falcone, Giacomo; De Luca, Anna Irene; Piga, Antonio; Conte, Paola; Strano, Alfio; Gulisano, Giovanni</t>
  </si>
  <si>
    <t>Vandepaer, Laurent; Cloutier, Julie; Bauer, Christian; Amor, Ben</t>
  </si>
  <si>
    <t>Nock, Destenie; Baker, Erin</t>
  </si>
  <si>
    <t>Hitaj, Claudia; Rehkamp, Sarah; Canning, Patrick; Peters, Christian J.</t>
  </si>
  <si>
    <t>Bartoli, Andrea; Hamelin, Lorie; Rozakis, Stelios; Borzecka, Magdalena; Brandao, Miguel</t>
  </si>
  <si>
    <t>Lima, Priscila De Morais; Olivo, Fernanda; Paulo, Paula Loureiro; Schalch, Valdir; Cimpan, Ciprian</t>
  </si>
  <si>
    <t>Smetana, Sergiy; Schmitt, Eric; Mathys, Alexander</t>
  </si>
  <si>
    <t>Delgove, Marie A. F.; Laurent, Achille-B.; Woodley, John M.; De Wildeman, Stefaan M. A.; Bernaerts, Katrien V.; van der Meer, Yvonne</t>
  </si>
  <si>
    <t>Moslehi, Salim; Reddy, T. Agami</t>
  </si>
  <si>
    <t>Lee, Suh-Young; Lee, In-Beum; Han, Jeehoon</t>
  </si>
  <si>
    <t>Bi, Zicheng; Keoleian, Gregory A.; Lin, Zhenhong; Moore, Michael R.; Chen, Kainan; Song, Lingjun; Zhao, Zhengming</t>
  </si>
  <si>
    <t>Transp. Res. Pt. C-Emerg. Technol.</t>
  </si>
  <si>
    <t>Burnley, Stephen John</t>
  </si>
  <si>
    <t>CISA PUBLISHER</t>
  </si>
  <si>
    <t>Munoz, Ivan; Portillo, Francisco; Rosiek, Sabina; Battles, Francisco J.; Martinez-Del-Rio, Javier; Acasuso, Inaki; Piergrossi, Valentina; De Sanctis, Marco; Chimienti, Silvia; Di Iaconi, Claudio</t>
  </si>
  <si>
    <t>Parsons, S.; Poyntz-Wright, O.; Kent, A.; McManus, M. C.</t>
  </si>
  <si>
    <t>Mater. Today Sustain.</t>
  </si>
  <si>
    <t>Pell, Robert; Tijsseling, Laurens; Palmer, Luke W.; Glass, Hylke J.; Yan, Xioayu; Wall, Frances; Zeng, Xianlai; Li, Jinhui</t>
  </si>
  <si>
    <t>Danthurebandara, Maheshi; Rajapaksha, Leelananda</t>
  </si>
  <si>
    <t>Zhang, Hai; Rigamonti, Lucia; Visigalli, Simone; Turolla, Andrea; Gronchi, Paolo; Canziani, Roberto</t>
  </si>
  <si>
    <t>Gallagher, John; Basu, Biswajit; Browne, Maria; Kenna, Alan; McCormack, Sarah; Pilla, Francesco; Styles, David</t>
  </si>
  <si>
    <t>Lausselet, Carine; Borgnes, Vilde; Brattebo, Helge</t>
  </si>
  <si>
    <t>Van der Voet, Ester; Van Oers, Lauran; Verboon, Miranda; Kuipers, Koen</t>
  </si>
  <si>
    <t>Deng, Yelin; Ma, Lulu; Li, Tonghui; Li, Jianyang; Yuan, Chris</t>
  </si>
  <si>
    <t>Asdrubali, F.; Ballarini, I; Corrado, V; Evangelisti, L.; Grazieschi, G.; Guattari, C.</t>
  </si>
  <si>
    <t>Brand, Christian; Anable, Jillian; Morton, Craig</t>
  </si>
  <si>
    <t>Singlitico, Alessandro; Goggins, Jamie; Monaghan, Rory F. D.</t>
  </si>
  <si>
    <t>Tokimatsu, Koji; Dupuy, Louis; Hanley, Nick</t>
  </si>
  <si>
    <t>Environ. Resour. Econ.</t>
  </si>
  <si>
    <t>Rocco, Matteo V.; Casalegno, Andrea; Colombo, Emanuela</t>
  </si>
  <si>
    <t>Harris, Andrew; Soban, Danielle; Smyth, Beatrice M.; Best, Robert</t>
  </si>
  <si>
    <t>Schulze, Rita; Abbasalizadeh, Aida; Bulach, Winfried; Schebek, Liselotte; Buchert, Matthias</t>
  </si>
  <si>
    <t>J. SUST. METALL.</t>
  </si>
  <si>
    <t>Vadenbo, Carl; Tonini, Davide; Burg, Vanessa; Astrup, Thomas Fruergaard; Thees, Oliver; Hellweg, Stefanie</t>
  </si>
  <si>
    <t>Brunklaus, Birgit; Rex, Emma; Carlsson, Erica; Berlin, Johanna</t>
  </si>
  <si>
    <t>Burchart-Korol, Dorota; Jursova, Simona; Folega, Piotr; Korol, Jerzy; Pustejovska, Pavlina; Blaut, Agata</t>
  </si>
  <si>
    <t>Song, Guobao; Semakula, Henry Musoke; Fullana-i-Palmer, Pere</t>
  </si>
  <si>
    <t>Guven, Huseyin; Eriksson, Ola; Wang, Zhao; Ozturk, Izzet</t>
  </si>
  <si>
    <t>Water Res.</t>
  </si>
  <si>
    <t>Hennequin, Thomas; Sorup, Hjalte Jomo Danielsen; Dong, Yan; Arnbjerg-Nielsen, Karsten</t>
  </si>
  <si>
    <t>Louis, Jean-Nicolas; Allard, Stephane; Debusschere, Vincent; Mima, Silvana; Tuan Tran-Quoc; Hadjsaid, Nouredine</t>
  </si>
  <si>
    <t>Burchart-Korol, Dorota; Pustejovska, Pavlina; Blaut, Agata; Jursova, Simona; Korol, Jerzy</t>
  </si>
  <si>
    <t>Corcelli, Fabiana; Ripa, Maddalena; Leccisi, Enrica; Cigolotti, Viviana; Fiandra, Valeria; Graditi, Giorgio; Sannino, Lucio; Tammaro, Marco; Ulgiati, Sergio</t>
  </si>
  <si>
    <t>Ecol. Indic.</t>
  </si>
  <si>
    <t>Thomassen, Gwenny; Van Dael, Miet; Van Passel, Steven</t>
  </si>
  <si>
    <t>Walker, Shalika; Labeodan, Timilehin; Boxem, Gert; Maassen, Wim; Zeiler, Wim</t>
  </si>
  <si>
    <t>Roibas, Laura; Cuevas, Antonio; Eugenia Vazquez, Maria; Vilas, Marta; Hospido, Almudena</t>
  </si>
  <si>
    <t>Sharma, Pooja; Humphreys, James; Holden, Nicholas M.</t>
  </si>
  <si>
    <t>Xiong, Wei; Li, Yi; Zhang, Wenlong; Ye, Quanliang; Zhang, Shanxue; Hou, Xing</t>
  </si>
  <si>
    <t>Khoshnevisan, Benyamin; Rafiee, Shahin; Tabatabaei, Meisam; Ghanavati, Hossein; Mohtasebi, Seyed Saeid; Rahimi, Vajiheh; Shafiei, Marzieh; Angelidaki, Irini; Karimi, Keikhosro</t>
  </si>
  <si>
    <t>Malmodin, Jens; Lunden, Dag</t>
  </si>
  <si>
    <t>Saxe, Henrik; Hamelin, Lorie; Hinrichsen, Torben; Wenzel, Henrik</t>
  </si>
  <si>
    <t>Zucaro, Amalia; Forte, Annachiara; Fierro, Angelo</t>
  </si>
  <si>
    <t>Hafner, Annette; Rueter, Sebastian</t>
  </si>
  <si>
    <t>SOC WOOD SCI TECHNOL</t>
  </si>
  <si>
    <t>Wood Fiber Sci.</t>
  </si>
  <si>
    <t>Lettner, Miriam; Solt, Pia; Roessiger, Bjoern; Pufky-Heinrich, Daniela; Jaaskelainen, Anna-Stiina; Schwarzbauer, Peter; Hesser, Franziska</t>
  </si>
  <si>
    <t>Liu, Shiyuan; Wang, Can; Shi, Lei; Cai, Wenjia; Zhang, Lixiao</t>
  </si>
  <si>
    <t>Nabavi-Pelesaraei, Ashkan; Rafiee, Shahin; Mohtasebi, Seyed Saeid; Hosseinzadeh-Bandbafha, Homa; Chau, Kwok-wing</t>
  </si>
  <si>
    <t>Zheng, Ji-Lu; Zhu, Ya-Hong; Zhu, Ming-Qiang; Sun, Guo-Tao; Sun, Run-Cang</t>
  </si>
  <si>
    <t>Yue, Wencong; Cai, Yanpeng; Su, Meirong; Yang, Zhifeng; Dang, Zhi</t>
  </si>
  <si>
    <t>Park, Jin-Young; Lee, Dong-Eun; Kim, Byung-Soo</t>
  </si>
  <si>
    <t>KOREAN SOCIETY OF CIVIL ENGINEERS-KSCE</t>
  </si>
  <si>
    <t>KSCE J. Civ. Eng.</t>
  </si>
  <si>
    <t>Yuan, Zhiyi; Ou, Xunmin; Peng, Tianduo; Yan, Xiaoyu</t>
  </si>
  <si>
    <t>Penaloza, Diego; Erlandsson, Martin; Berlin, Johanna; Walinder, Magnus; Falk, Andreas</t>
  </si>
  <si>
    <t>Barros, Murillo Vetroni; Piekarski, Cassiano Moro; de Francisco, Antonio Carlos</t>
  </si>
  <si>
    <t>Salemdeeb, Ramy; Bin Daina, Mohammad; Reynolds, Christian; Al-Tabbaa, Abir</t>
  </si>
  <si>
    <t>ISLAMIC AZAD UNIV, ISFAHAN-KHORASGAN BRANCH</t>
  </si>
  <si>
    <t>Int. J. Recycling Org. Waste Agric.</t>
  </si>
  <si>
    <t>Stamford, Laurence; Azapagic, Adisa</t>
  </si>
  <si>
    <t>Yang, Dewei; Xu, Lingxing; Gao, Xueli; Guo, Qinghai; Huang, Ning</t>
  </si>
  <si>
    <t>Gullon, Patricia; Gullon, Beatriz; Davila, Izaskun; Labidi, Jalel; Gonzalez-Garcia, Sara</t>
  </si>
  <si>
    <t>Isoni, V.; Kumbang, A.; Sharratt, P. N.; Khoo, H. H.</t>
  </si>
  <si>
    <t>Wu Junnian; Pu Guangying; Guo Yan; Lv Jingwen; Shang Jiangwei</t>
  </si>
  <si>
    <t>Beck, Andrew W.; O'Brien, Anthony J.; Zaimes, George G.; Resasco, Daniel E.; Crossley, Steven P.; Khanna, Vikas</t>
  </si>
  <si>
    <t>Landi, Daniele; Gigli, Silvia; Germani, Michele; Marconi, Marco</t>
  </si>
  <si>
    <t>Lechon, Yolanda; De La Rua, Cristina; Cabal, Helena</t>
  </si>
  <si>
    <t>Wu, Yuzhe; Luo, Jiaojiao; Shen, Liyin; Skitmore, Martin</t>
  </si>
  <si>
    <t>Tang, Yuting; You, Fengqi</t>
  </si>
  <si>
    <t>Cox, Brian; Mutel, Christopher L.; Bauer, Christian; Beltran, Angelica Mendoza; van Vuuren, Detlef P.</t>
  </si>
  <si>
    <t>Garcia, Rita; Freire, Fausto; Clift, Roland</t>
  </si>
  <si>
    <t>Mehr, Jonas; Vadenbo, Carl; Steubing, Bernhard; Hellweg, Stefanie</t>
  </si>
  <si>
    <t>Owsianiak, Mikolaj; Brooks, Jennifer; Renz, Michael; Laurent, Alexis</t>
  </si>
  <si>
    <t>Kuipers, Koen J. J.; van Oers, Lauran F. C. M.; Verboon, Miranda; van der Voet, Ester</t>
  </si>
  <si>
    <t>O'Born, Reyn</t>
  </si>
  <si>
    <t>Shafiq, Nasir; Gardezi, Syed Shujaa Safdar; Nuruddin, Muhd. Fadhil; Zawawi, Noor Amila Wan Abdullah</t>
  </si>
  <si>
    <t>Environ. Prog. Sustain. Energy</t>
  </si>
  <si>
    <t>Souza, Alexandre; Barbosa Watanabe, Marcos Djun; Cavalett, Otavio; Lie Ugaya, Cassia Maria; Bonomi, Antonio</t>
  </si>
  <si>
    <t>Kazemi, Ali; Bahramifar, Nader; Heydari, Akbar; Olsen, Stig Irving</t>
  </si>
  <si>
    <t>Galli, Federico; Pirola, Carlo; Previtali, Daniele; Manenti, Flavio; Bianchi, Claudia L.</t>
  </si>
  <si>
    <t>Chen, Yizhong; He, Li; Li, Jing; Zhang, Shiyue</t>
  </si>
  <si>
    <t>Arvesen, Anders; Luderer, Gunnar; Pehl, Michaja; Bodirsky, Benjamin Leon; Hertwich, Edgar G.</t>
  </si>
  <si>
    <t>Environ. Modell. Softw.</t>
  </si>
  <si>
    <t>Cerutti, Alessandro K.; Ardente, Fulvio; Contu, Simone; Donno, Dario; Beccaro, Gabriele L.</t>
  </si>
  <si>
    <t>Cox, Brian; Jemiolo, Wojciech; Mutel, Chris</t>
  </si>
  <si>
    <t>Duflou, Joost R.; Peeters, Jef R.; Altamirano, Diego; Bracquene, Ellen; Dewulf, Wim</t>
  </si>
  <si>
    <t>CIRP Ann-Manuf. Technol.</t>
  </si>
  <si>
    <t>Fernandez-Dacosta, Cora; Stojcheva, Viktorija; Ramirez, Andrea</t>
  </si>
  <si>
    <t>J. CO2 Util.</t>
  </si>
  <si>
    <t>Moncada, Jonathan; Gursel, Iris Vural; Huijgen, Wouter J. J.; Dijkstra, Jan Wilco; Ramirez, Andrea</t>
  </si>
  <si>
    <t>Sfez, Sophie; De Meester, Steven; Dewulf, Jo</t>
  </si>
  <si>
    <t>Cossutta, Matteo; McKechnie, Jon; Pickering, Stephen J.</t>
  </si>
  <si>
    <t>Faure, Eleonore; Arushanyan, Yevgeniya; Ekener, Elisabeth; Miliutenko, Sofiia; Finnveden, Goran</t>
  </si>
  <si>
    <t>Lam, Ka Leung; Stokes-Draut, Jennifer R.; Horvath, Arpad; Lane, Joe L.; Kenway, Steven J.; Lant, Paul A.</t>
  </si>
  <si>
    <t>Igos, Elorri; Besson, Mathilde; Gutierrez, Tomas Navarrete; de Faria, Ana Barbara Bisinella; Benetto, Enrico; Barna, Ligia; Ahmadi, Aras; Sperandio, Mathieu</t>
  </si>
  <si>
    <t>Snall, Tord; Johansson, Victor; Jonsson, Mari; Ortiz, Carina; Hammar, Torun; Caruso, Alexandro; Svensson, Mans; Stendahl, Johan</t>
  </si>
  <si>
    <t>Wei, Wendong; Wang, Xibo; Zhu, He; Li, Ji; Zhou, Sili; Zou, Zhiyi; Li, J. S.</t>
  </si>
  <si>
    <t>Kunanuntakij, Kultida; Varabuntoonvit, Viganda; Vorayos, Natanee; Panjapornpon, Chanin; Mungcharoen, Thumrongrut</t>
  </si>
  <si>
    <t>Santos, M. J.; Ferreira, P.; Araujo, M.; Portugal-Pereira, J.; Lucena, A. F. P.; Schaeffer, R.</t>
  </si>
  <si>
    <t>Forte, Annachiara; Zucaro, Amalia; Fagnano, Massimo; Fierro, Angelo</t>
  </si>
  <si>
    <t>Manandhar, Ashish; Shah, Ajay</t>
  </si>
  <si>
    <t>Cavalett, Otavio; Chagas, Mateus F.; Junqueira, Tassia L.; Watanabe, Marcos D. B.; Bonomi, Antonio</t>
  </si>
  <si>
    <t>Ind. Crop. Prod.</t>
  </si>
  <si>
    <t>Huang, Runze; Riddle, Matthew E.; Graziano, Diane; Das, Sujit; Nimbalkar, Sachin; Cresko, Joe; Masanet, Eric</t>
  </si>
  <si>
    <t>Talang, Rutjaya Prateep Na; Pizzol, Massimo; Sirivithayapakorn, Sanya</t>
  </si>
  <si>
    <t>Aryapratama, Rio; Janssen, Matty</t>
  </si>
  <si>
    <t>Hamilton, Nicholas E.; Howard, Bahareh Sara; Diesendorf, Mark; Wiedmann, Thomas</t>
  </si>
  <si>
    <t>Dong, Liang; Liang, Hanwei; Zhang, Liguo; Liu, Zhaowen; Gao, Zhiqiu; Hu, Mingming</t>
  </si>
  <si>
    <t>Ecol. Model.</t>
  </si>
  <si>
    <t>Atilgan, Burcin; Azapagic, Adisa</t>
  </si>
  <si>
    <t>Bukoski, Jacob J.; Chaiwiwatworakul, Pipat; Gheewala, Shabbir H.</t>
  </si>
  <si>
    <t>Dandres, Thomas; Vandromme, Nathan; Obrekht, Glasha; Wong, Andy; Nguyen, Kim Khoa; Lemieux, Yves; Cheriet, Mohamed; Samson, Rejean</t>
  </si>
  <si>
    <t>Kobayashi, Yumi; Peters, Gregory M.; Ashbolt, Nicholas J.; Khan, Stuart J.</t>
  </si>
  <si>
    <t>Liu, Yili; Xing, Peixuan; Liu, Jianguo</t>
  </si>
  <si>
    <t>Liu, Yili; Sun, Weixin; Liu, Jianguo</t>
  </si>
  <si>
    <t>Ritzen, M. J.; Vroon, Z. A. E. P.; Rovers, R.; Lupisek, A.; Geurts, C. P. W.</t>
  </si>
  <si>
    <t>Roffeis, Martin; Almeida, Joana; Wakefield, Maureen Elizabeth; Alves Valada, Tatiana Raquel; Devic, Emilie; Kone, N'Golope; Kenis, Marc; Nacambo, Saidou; Fitches, Elaine Charlotte; Koko, Gabriel K. D.; Mathijs, Erik; Achten, Wouter M. J.; Muys, Bart</t>
  </si>
  <si>
    <t>Henriksson, Patrik John Gustav; Nhuong Tran; Mohan, Chadag Vishnumurthy; Chan, Chin Yee; Rodriguez, U-Primo; Suri, Sharon; Mateos, Lara Dominguez; Utomo, Nur Bambang Priyo; Hall, Stephen; Phillips, Michael John</t>
  </si>
  <si>
    <t>Bachmann, Jens; Hidalgo, Carme; Bricout, Stephanie</t>
  </si>
  <si>
    <t>SCIENCE PRESS</t>
  </si>
  <si>
    <t>Sci. China-Technol. Sci.</t>
  </si>
  <si>
    <t>Hessle, Anna; Bertilsson, Jan; Stenberg, Bo; Kumm, Karl-Ivar; Sonesson, Ulf</t>
  </si>
  <si>
    <t>Agric. Syst.</t>
  </si>
  <si>
    <t>Serp, Jerome; Poinssot, Christophe; Bourg, Stephane</t>
  </si>
  <si>
    <t>Su, Shu; Li, Xiaodong; Zhu, Yimin; Lin, Borong</t>
  </si>
  <si>
    <t>Lourguioui, Hichem; Brigolin, Daniele; Boulahdid, Mostefa; Pastres, Roberto</t>
  </si>
  <si>
    <t>Mastrucci, Alessio; Marvuglia, Antonino; Popovici, Emil; Leopold, Ulrich; Benetto, Enrico</t>
  </si>
  <si>
    <t>Cintas, Olivia; Berndes, Goran; Cowie, Annette L.; Egnell, Gustaf; Holmstrom, Hampus; Marland, Gregg; Agren, Goran I.</t>
  </si>
  <si>
    <t>Deus, Rafael Mattos; Gomes Battistelle, Rosane Aparecida; Ribeiro Silva, Gustavo Henrique</t>
  </si>
  <si>
    <t>Itten, Rene; Stucki, Matthias</t>
  </si>
  <si>
    <t>Perez-Lopez, Paula; Gschwind, Benoit; Blanc, Philippe; Frischknecht, Rolf; Stolz, Philippe; Durand, Yvonnick; Heath, Garvin; Menard, Lionel; Blanc, Isabelle</t>
  </si>
  <si>
    <t>Warshay, Brian; Brown, J. Jed; Sgouridis, Sgouris</t>
  </si>
  <si>
    <t>Bueno, Gorka; Hoyos, David; Capellan-Perez, Inigo</t>
  </si>
  <si>
    <t>Res. Transp. Econ.</t>
  </si>
  <si>
    <t>Feitoza Freire, Ana Lucia; de Araujo Junior, Celso Pires; de Freitas Rosa, Morsyleide; de Almeida Neto, Jose Adolfo; Brito de Figueiredo, Maria Clea</t>
  </si>
  <si>
    <t>Ghose, Agneta; McLaren, Sarah J.; Dowdell, David; Phipps, Robyn</t>
  </si>
  <si>
    <t>Seghetta, Michele; Romeo, Daina; D'Este, Martina; Alvarado-Morales, Merlin; Angelidaki, Irini; Bastianoni, Simone; Thomsen, Marianne</t>
  </si>
  <si>
    <t>Welfle, Andrew; Gilbert, Paul; Thornley, Patricia; Stephenson, Anna</t>
  </si>
  <si>
    <t>Jahandideh, Arash; Johnson, Tylor J.; Esmaeili, Nima; Johnson, Myriah D.; Richardson, James W.; Muthukumarappan, Kasiviswanathan; Anderson, Gary A.; Halfmann, Charles; Zhou, Ruanbao; Gibbons, William R.</t>
  </si>
  <si>
    <t>Life cycle analysis of a large-scale limonene production facility utilizing filamentous N2-fixing cyanobacteria</t>
  </si>
  <si>
    <t>Algal Res.</t>
  </si>
  <si>
    <t>Rodrigues, Carla; Freire, Fausto</t>
  </si>
  <si>
    <t>Alyaseri, Isam; Zhou, Jianpeng</t>
  </si>
  <si>
    <t>Arushanyan, Yevgeniya; Ekener, Elisabeth; Moberg, Asa</t>
  </si>
  <si>
    <t>Sustainability assessment framework for scenarios - SAFS</t>
  </si>
  <si>
    <t>Astudillo, Miguel F.; Treyer, Karin; Bauer, Christian; Pineau, Pierre-Olivier; Ben Amor, Mourad</t>
  </si>
  <si>
    <t>Brand, Christian; Cluzel, Celine; Anable, Jillian</t>
  </si>
  <si>
    <t>Ma, Ye; Ke, Ruo-Yu; Han, Rong; Tang, Bao-Jun</t>
  </si>
  <si>
    <t>Omid, Salar; Derakhshan, Zahra; Mokhtari, Mehdi</t>
  </si>
  <si>
    <t>KERMAN UNIV MEDICAL SCIENCES</t>
  </si>
  <si>
    <t>Environ. Health Eng. Manag.</t>
  </si>
  <si>
    <t>Savino, Matteo M.; Manzini, Riccardo; Della Selva, Vincenzo; Accorsi, Riccardo</t>
  </si>
  <si>
    <t>Tabata, Tomohiro; Wakabayashi, Yohei; Tsai, Peii; Saeki, Takashi</t>
  </si>
  <si>
    <t>Olofsson, Johanna; Barta, Zsolt; Borjesson, Pal; Wallberg, Ola</t>
  </si>
  <si>
    <t>Biotechnol. Biofuels</t>
  </si>
  <si>
    <t>Gursel, Aysegul Petek; Ostertag, Claudia</t>
  </si>
  <si>
    <t>Kishita, Yusuke; Nakatsuka, Noriaki; Akamatsu, Fumiteru</t>
  </si>
  <si>
    <t>Mao, Guozhu; Wang, Shuai; Teng, Qizhi; Zuo, Jian; Tan, Xin; Wang, Haifeng; Liu, Zhe</t>
  </si>
  <si>
    <t>Marvuglia, Antonino; Rege, Sameer; Gutierrez, Tomas Navarrete; Vanni, Laureen; Stilmant, Didier; Benetto, Enrico</t>
  </si>
  <si>
    <t>Thomsen, M.; Seghetta, M.; Mikkelsen, M. H.; Gyldenkaerne, S.; Becker, T.; Caro, D.; Frederiksen, P.</t>
  </si>
  <si>
    <t>Valsasina, Lucia; Pizzol, Massimo; Smetana, Sergiy; Georget, Erika; Mathys, Alexander; Heinz, Volker</t>
  </si>
  <si>
    <t>Cosme, Nuno; Niero, Monia</t>
  </si>
  <si>
    <t>Cruz, Luis; Barata, Eduardo; Ferreira, Joao-Pedro; Freire, Fausto</t>
  </si>
  <si>
    <t>Int. J. Sustain. High. Educ.</t>
  </si>
  <si>
    <t>Dijkman, Teunis J.; Birkved, Morten; Saxe, Henrik; Wenzel, Henrik; Hauschild, Michael Z.</t>
  </si>
  <si>
    <t>Hammond, Geoffrey P.; O' Grady, Aine</t>
  </si>
  <si>
    <t>Miotti, Marco; Hofer, Johannes; Bauer, Christian</t>
  </si>
  <si>
    <t>Pauliuk, Stefan; Arvesen, Anders; Stadler, Konstantin; Hertwich, Edgar G.</t>
  </si>
  <si>
    <t>Shahabi, Maedeh P.; McHugh, Adam; Anda, Martin; Ho, Goen</t>
  </si>
  <si>
    <t>Roux, Charlotte; Schalbart, Patrick; Assoumpu, Edi; Peuportier, Bruno</t>
  </si>
  <si>
    <t>Wan, Liyang; Wang, Can; Cai, Wenjia</t>
  </si>
  <si>
    <t>Beal, Colin M.; Davidson, F. Todd; Webber, Michael E.; Quinn, Jason C.</t>
  </si>
  <si>
    <t>Rothwell, Alison; Ridoutt, Brad; Bellotti, William</t>
  </si>
  <si>
    <t>Wang, Mo; Zhang, Dongqing; Adhityan, Appan; Ng, Wun Jern; Dong, Jianwen; Tan, Soon Keat</t>
  </si>
  <si>
    <t>J. Hydrol.</t>
  </si>
  <si>
    <t>Seghetta, Michele; Hou, Xiaoru; Bastianoni, Simone; Bjerre, Anne-Belinda; Thomsen, Marianne</t>
  </si>
  <si>
    <t>Vaisanen, Sanni; Mikkila, Mirja; Havukainen, Jouni; Sokka, Laura; Luoranen, Mika; Horttanainen, Mika</t>
  </si>
  <si>
    <t>Zhao, Lili; Ou, Xunmin; Chang, Shiyan</t>
  </si>
  <si>
    <t>Carless, Travis S.; Griffin, W. Michael; Fischbeck, Paul S.</t>
  </si>
  <si>
    <t>Hengevoss, Dirk; Baumgartner, Corinna; Nisato, Giovanni; Hugi, Christoph</t>
  </si>
  <si>
    <t>Tsang, Michael P.; Sonnemann, Guido W.; Bassani, Dario M.</t>
  </si>
  <si>
    <t>Sol. Energy Mater. Sol. Cells</t>
  </si>
  <si>
    <t>Brand, Christian</t>
  </si>
  <si>
    <t>Crossin, Enda; Doherty, Peter J. B.</t>
  </si>
  <si>
    <t>Gumus, Serkan; Kucukvar, Murat; Tatari, Omer</t>
  </si>
  <si>
    <t>Monteiro, Helena; Fernandez, John E.; Freire, Fausto</t>
  </si>
  <si>
    <t>Sust. Cities Soc.</t>
  </si>
  <si>
    <t>Tidaker, Pernilla; Bergkvist, Goran; Bolinder, Martin; Eckersten, Henrik; Johnsson, Holger; Katterer, Thomas; Weih, Martin</t>
  </si>
  <si>
    <t>Eur. J. Agron.</t>
  </si>
  <si>
    <t>Batidzirai, B.; Valk, M.; Wicke, B.; Junginger, M.; Daioglou, V.; Euler, W.; Faaij, A. P. C.</t>
  </si>
  <si>
    <t>Seghetta, Michele; Torring, Ditte; Bruhn, Annette; Thomsen, Marianne</t>
  </si>
  <si>
    <t>Yano, Junya; Sakai, Shin-ichi</t>
  </si>
  <si>
    <t>J. Mater. Cycles Waste Manag.</t>
  </si>
  <si>
    <t>Tagliaferri, C.; Evangelisti, S.; Clift, R.; Lettieri, P.; Chapman, C.; Taylor, Richard</t>
  </si>
  <si>
    <t>Villares, Marco; Isildar, Arda; Beltran, Angelica Mendoza; Guinee, Jeroen</t>
  </si>
  <si>
    <t>Azapagic, Adisa; Stamford, Laurence; Youds, Lorraine; Barteczko-Hibbert, Christian</t>
  </si>
  <si>
    <t>Tagliaferri, Carla; Evangelisti, Sara; Acconcia, Federica; Domenech, Teresa; Ekins, Paul; Barletta, Diego; Lettieri, Paola</t>
  </si>
  <si>
    <t>Chem. Eng. Res. Des.</t>
  </si>
  <si>
    <t>Watanabe, Marcos D. B.; Chagas, Mateus F.; Cavalett, Otavio; Guilhoto, Joaquim J. M.; Griffin, W. Michael; Cunha, Marcelo P.; Bonomi, Antonio</t>
  </si>
  <si>
    <t>Zhou, Wenji; Wang, Tao; Yu, Yadong; Chen, Dingjiang; Zhu, Bing</t>
  </si>
  <si>
    <t>Passer, Alexander; Ouellet-Plamondon, Claudiane; Kenneally, Patrick; John, Viola; Habert, Guillaume</t>
  </si>
  <si>
    <t>Wolf, Christian; Klein, Daniel; Richter, Klaus; Weber-Blaschke, Gabriele</t>
  </si>
  <si>
    <t>Almeida, Joana; De Meyer, Annelies; Cattrysse, Dirk; Van Orshoven, Jos; Achten, Wouter M. J.; Muys, Bart</t>
  </si>
  <si>
    <t>Vieira, Darli Rodrigues; Bravo, Alencar</t>
  </si>
  <si>
    <t>Khoo, Hsien H.; Tan, Lester L. Z.; Tan, Reginald B. H.</t>
  </si>
  <si>
    <t>Mo, Weiwei; Wang, Haiying; Jacobs, Jennifer M.</t>
  </si>
  <si>
    <t>Bergesen, Joseph D.; Suh, Sangwon</t>
  </si>
  <si>
    <t>Sonesson, Ulf Gunnar; Lorentzon, Katarina; Andersson, Annica; Barr, Ulla-Karin; Bertilsson, Jan; Borch, Elisabeth; Brunius, Carl; Emanuelsson, Margareta; Goransson, Leif; Gunnarsson, Stefan; Hamberg, Lars; Hessle, Anna; Kumm, Karl-Ivar; Lundh, Ase; Nielsen, Tim; Ostergren, Karin; Salomon, Eva; Sindhoj, Erik; Stenberg, Bo; Stenberg, Maria; Sundberg, Martin; Wall, Helena</t>
  </si>
  <si>
    <t>Rothwell, Alison; Ridoutt, Brad; Page, Girija; Bellotti, William</t>
  </si>
  <si>
    <t>J. Environ. Plan. Manag.</t>
  </si>
  <si>
    <t>Gunkaya, Zerrin; Banar, Mufide</t>
  </si>
  <si>
    <t>Kikuchi, Yasunori; Kanematsu, Yuichiro; Ugo, Masamichi; Hamada, Yosuke; Okubo, Tatsuya</t>
  </si>
  <si>
    <t>Kikuchi, Yasunori; Kanematsu, Yuichiro; Sato, Ryuichi; Nakagaki, Takao</t>
  </si>
  <si>
    <t>Kulczycka, Joanna; Lelek, Lukasz; Lewandowska, Anna; Wirth, Herbert; Bergesen, Joseph D.</t>
  </si>
  <si>
    <t>Taptich, Michael N.; Horvath, Arpad; Chester, Mikhail V.</t>
  </si>
  <si>
    <t>Woon, Kok Sin; Lo, Irene M. C.; Chiu, Sam L. H.; Yan, Dickson Y. S.</t>
  </si>
  <si>
    <t>Loubet, Philippe; Roux, Philippe; Guerin-Schneider, Laetitia; Bellon-Maurel, Veronique</t>
  </si>
  <si>
    <t>Leinonen, I.; Williams, A. G.; Kyriazakis, I.</t>
  </si>
  <si>
    <t>Poult. Sci.</t>
  </si>
  <si>
    <t>Weis, Allison; Jaramillo, Paulina; Michalek, Jeremy</t>
  </si>
  <si>
    <t>IOP PUBLISHING LTD</t>
  </si>
  <si>
    <t>Friedrich, Elena; Trois, Cristina</t>
  </si>
  <si>
    <t>Tecchio, Paolo; Freni, Pierluigi; De Benedetti, Bruno; Fenouillot, Francoise</t>
  </si>
  <si>
    <t>Anastaselos, Dimitrios; Oxizidis, Simeon; Manoudis, Alexandros; Papadopoulos, Agis M.</t>
  </si>
  <si>
    <t>Cao, Yijia; Wang, Xifan; Li, Yong; Tan, Yi; Xing, Jianbo; Fan, Ruixiang</t>
  </si>
  <si>
    <t>Krezo, Steven; Mirza, Olivia; He, Yaping; Makim, Polly; Kaewunruen, Sakdirat</t>
  </si>
  <si>
    <t>Pratt, Kimberley; Lenaghan, Michael; Mitchard, Edward T. A.</t>
  </si>
  <si>
    <t>SPRINGEROPEN</t>
  </si>
  <si>
    <t>Carbon Balanc. Manag.</t>
  </si>
  <si>
    <t>Sathre, Roger; Greenblatt, Jeffery B.; Walczak, Karl; Sharp, Ian D.; Stevens, John C.; Ager, Joel W., III; Houle, Frances A.</t>
  </si>
  <si>
    <t>Tchertchian, Nicolas; Millet, Dominique; Yvars, Pierre Alain</t>
  </si>
  <si>
    <t>Int. J. Sustain. Energy</t>
  </si>
  <si>
    <t>Anderson, John E.; Wulfhorst, Gebhard; Lang, Werner</t>
  </si>
  <si>
    <t>Nicholls, A.; Sharma, R.; Saha, T. K.</t>
  </si>
  <si>
    <t>Niero, Monia; Ingvordsen, Cathrine Heinz; Jorgensen, Rikke Bagger; Hauschild, Michael Zwicky</t>
  </si>
  <si>
    <t>Elshkaki, Ayman; Graedel, T. E.</t>
  </si>
  <si>
    <t>Bauer, Christian; Hofer, Johannes; Althaus, Hans-Joerg; Del Duce, Andrea; Simons, Andrew</t>
  </si>
  <si>
    <t>El Chami, D.; Daccache, A.</t>
  </si>
  <si>
    <t>Simons, Andrew; Bauer, Christian</t>
  </si>
  <si>
    <t>Wang, Haina; Yang, Yingsheng; Zhang, Xiaoyi; Tian, Guangdong</t>
  </si>
  <si>
    <t>Archsmith, James; Kendall, Alissa; Rapson, David</t>
  </si>
  <si>
    <t>Chi, Yong; Dong, Jun; Tang, Yuanjun; Huang, Qunxing; Ni, Mingjiang</t>
  </si>
  <si>
    <t>Dominguez-Ramos, A.; Singh, B.; Zhang, X.; Hertwich, E. G.; Irabien, A.</t>
  </si>
  <si>
    <t>Louwen, A.; van Sark, W. G. J. H. M.; Schropp, R. E. I.; Turkenburg, W. C.; Faaij, A. P. C.</t>
  </si>
  <si>
    <t>Ercan, Tolga; Tatari, Omer</t>
  </si>
  <si>
    <t>Murphy, Colin W.; Kendall, Alissa</t>
  </si>
  <si>
    <t>Fouquet, Marine; Levasseur, Annie; Margni, Manuele; Lebert, Alexandra; Lasvaux, Sebastien; Souyri, Bernard; Buhe, Catherine; Woloszyn, Monika</t>
  </si>
  <si>
    <t>Colon, Joan; Cadena, Erasmo; Pognani, Michele; Maulini, Caterina; Barrena, Raquel; Sanchez, Antoni; Font, Xavier; Artola, Adriana</t>
  </si>
  <si>
    <t>J. Integr. Environ. Sci.</t>
  </si>
  <si>
    <t>Fernandez-Gonzalez, C.; Dominguez-Ramos, A.; Ibanez, R.; Irabien, A.</t>
  </si>
  <si>
    <t>Ivner, Jenny; Viklund, Sarah Broberg</t>
  </si>
  <si>
    <t>Kursun, Berrin; Bakshi, Bhavik R.; Mahata, Manoj; Martin, Jay F.</t>
  </si>
  <si>
    <t>Guan, Yidong; Zhang, Yuan; Zhao, Dongye; Huang, Xiaofeng; Li, Haini</t>
  </si>
  <si>
    <t>J. Air Waste Manage. Assoc.</t>
  </si>
  <si>
    <t>Lee, Seung-Jin; Hawkins, Troy R.; Ingwersen, Wesley W.; Young, Douglas M.</t>
  </si>
  <si>
    <t>Niero, Monia; Ingvordsen, Cathrine H.; Peltonen-Sainio, Pirjo; Jalli, Marja; Lyngkjaer, Michael F.; Hauschild, Michael Z.; Jorgensen, Rikke B.</t>
  </si>
  <si>
    <t>Chen, I-Ching; Kikuchi, Yasunori; Fukushima, Yasuhiro; Sugiyama, Hirokazu; Hirao, Masahiko</t>
  </si>
  <si>
    <t>Huo, Hong; Cai, Hao; Zhang, Qiang; Liu, Fei; He, Kebin</t>
  </si>
  <si>
    <t>Life-cycle assessment of greenhouse gas and air emissions of electric vehicles: A comparison between China and the US</t>
  </si>
  <si>
    <t>Atmos. Environ.</t>
  </si>
  <si>
    <t>Jorgensen, Susanne V.; Hauschild, Michael Z.; Nielsen, Per H.</t>
  </si>
  <si>
    <t>Murphy, Fionnuala; Devlin, Ger; McDonnell, Kevin</t>
  </si>
  <si>
    <t>Yano, Junya; Aoki, Tatsuki; Nakamura, Kazuo; Yamada, Kazuo; Sakai, Shin-ichi</t>
  </si>
  <si>
    <t>Zhao, Guangling; Chen, Sha</t>
  </si>
  <si>
    <t>Energy Strateg. Rev.</t>
  </si>
  <si>
    <t>El Hanandeh, Ali</t>
  </si>
  <si>
    <t>Del Pero, Francesco; Delogu, Massimo; Pierini, Marco; Bonaffini, Davide</t>
  </si>
  <si>
    <t>Evangelisti, S.; Lettieri, P.; Clift, R.; Borello, D.</t>
  </si>
  <si>
    <t>Process Saf. Environ. Protect.</t>
  </si>
  <si>
    <t>Nunez, Montserrat; Pfister, Stephan; Vargas, Mar; Anton, Assumpcio</t>
  </si>
  <si>
    <t>Tendall, Danielle M.; Gaillard, Gerard</t>
  </si>
  <si>
    <t>Hong, Sanghyun; Bradshaw, Corey J. A.; Brook, Barry W.</t>
  </si>
  <si>
    <t>Bohnengel, Barrett; Patino-Echeverri, Dalia; Bergerson, Joule</t>
  </si>
  <si>
    <t>Almeida, Joana; Achten, Wouter M. J.; Verbist, Bruno; Heuts, Reindert F.; Schrevens, Eddie; Muys, Bart</t>
  </si>
  <si>
    <t>Alvarez-Gaitan, Juan Pablo; Short, Michael D.; Peters, Gregory M.; MacGill, Iain; Moore, Stephen</t>
  </si>
  <si>
    <t>Chatzikomis, C. I.; Spentzas, K. N.; Mamalis, A. G.</t>
  </si>
  <si>
    <t>Cooper, Jasmin; Stamford, Laurence; Azapagic, Adisa</t>
  </si>
  <si>
    <t>Energy Sustain Dev.</t>
  </si>
  <si>
    <t>Wang, Lei; Quiceno, Raul; Price, Catherine; Malpas, Rick; Woods, Jeremy</t>
  </si>
  <si>
    <t>Barteczko-Hibbert, Christian; Bonis, Ioannis; Binns, Michael; Theodoropoulos, Constantinos; Azapagic, Adisa</t>
  </si>
  <si>
    <t>Lee, Duu-Hwa</t>
  </si>
  <si>
    <t>Mann, Sander A.; de Wild-Scholten, Mariska J.; Fthenakis, Vasilis M.; van Sark, Wilfried G. J. H. M.; Sinke, Wim C.</t>
  </si>
  <si>
    <t>Turconi, Roberto; Tonini, Davide; Nielsen, Christian F. B.; Simonsen, Christian G.; Astrup, Thomas</t>
  </si>
  <si>
    <t>Turconi, R.; O'Dwyer, C.; Flynn, D.; Astrup, T.</t>
  </si>
  <si>
    <t>Santoyo-Castelazo, Edgar; Azapagic, Adisa</t>
  </si>
  <si>
    <t>Venkatesh, G.; Saegrov, Sueinung; Brattebo, Helge</t>
  </si>
  <si>
    <t>Dale, Alexander T.; Bilec, Melissa M.</t>
  </si>
  <si>
    <t>Sustain. Energy Technol. Assess.</t>
  </si>
  <si>
    <t>Nahlik, Matthew J.; Chester, Mikhail V.</t>
  </si>
  <si>
    <t>Transp. Policy</t>
  </si>
  <si>
    <t>Toniolo, Sara; Mazzi, Anna; Garato, Valentina Giulia; Aguiari, Filippo; Scipioni, Antonio</t>
  </si>
  <si>
    <t>Heijungs, Reinout; de Koning, Arjan; Guinee, Jeroen B.</t>
  </si>
  <si>
    <t>Petersen, J. -E.; Elbersen, B.; Fritsche, U. R.</t>
  </si>
  <si>
    <t>Meylan, Gregoire; Ami, Helen; Spoerri, Andy</t>
  </si>
  <si>
    <t>Roeder, Mirjam; Thornley, Patricia; Campbell, Grant; Bows-Larkin, Alice</t>
  </si>
  <si>
    <t>Environ. Sci. Policy</t>
  </si>
  <si>
    <t>Schmer, Marty R.; Dose, Heather L.</t>
  </si>
  <si>
    <t>Arvidsson, Rickard; Kushnir, Duncan; Sanden, Bjorn A.; Molander, Sverker</t>
  </si>
  <si>
    <t>Garba, Nasir Anka; Duckers, Les John; Hall, William John</t>
  </si>
  <si>
    <t>Kolosz, Ben W.; Grant-Muller, Susan M.; Djemame, Karim</t>
  </si>
  <si>
    <t>IEEE Trans. Intell. Transp. Syst.</t>
  </si>
  <si>
    <t>Levis, James W.; Barlaz, Morton A.; DeCarolis, Joseph F.; Ranjithan, S. Ranji</t>
  </si>
  <si>
    <t>Sandin, Gustav; Peters, Greg M.; Svanstrom, Magdalena</t>
  </si>
  <si>
    <t>Vazquez-Rowe, Ian; Marvuglia, Antonino; Flammang, Katja; Braun, Christian; Leopold, Ulrich; Benetto, Enrico</t>
  </si>
  <si>
    <t>Vazquez-Rowe, Ian; Marvuglia, Antonino; Rege, Sameer; Benetto, Enrico</t>
  </si>
  <si>
    <t>Cohen, Elliot; Ramaswami, Anu</t>
  </si>
  <si>
    <t>Dwivedi, Puneet; Khanna, Madhu; Bailis, Robert; Ghilardi, Adrian</t>
  </si>
  <si>
    <t>Rentizelas, Athanasios; Georgakellos, Dimitrios</t>
  </si>
  <si>
    <t>Cluzel, Francois; Yannou, Bernard; Millet, Dominique; Leroy, Yann</t>
  </si>
  <si>
    <t>Eriksson, Ola; Bisaillon, Mattias; Haraldsson, Marten; Sundberg, Johan</t>
  </si>
  <si>
    <t>Guo, Miao; Littlewood, Jade; Joyce, James; Murphy, Richard</t>
  </si>
  <si>
    <t>Mills, N.; Pearce, P.; Farrow, J.; Thorpe, R. B.; Kirkby, N. F.</t>
  </si>
  <si>
    <t>Wang, L.; Littlewood, J.; Murphy, R. J.</t>
  </si>
  <si>
    <t>Ajanovic, Amela</t>
  </si>
  <si>
    <t>Passell, Howard; Dhaliwal, Harnoor; Reno, Marissa; Wu, Ben; Ben Amotz, Ami; Ivry, Etai; Gay, Marcus; Czartoski, Tom; Laurin, Lise; Ayer, Nathan</t>
  </si>
  <si>
    <t>Giarola, Sara; Bezzo, Fabrizio; Shah, Nilay</t>
  </si>
  <si>
    <t>Munster, M.; Finnveden, G.; Wenzel, H.</t>
  </si>
  <si>
    <t>Patel, Akshay D.; Meesters, Koen; den Uil, Herman; de Jong, Ed; Worrell, Ernst; Patel, Martin K.</t>
  </si>
  <si>
    <t>Rigamonti, Lucia; Falbo, Alida; Grosso, Mario</t>
  </si>
  <si>
    <t>Rinne, S.; Syri, S.</t>
  </si>
  <si>
    <t>Dale, Alexander T.; Pereira de Lucena, Andre Frossard; Marriott, Joe; Moreira Cesar Borba, Bruno Soares; Schaeffer, Roberto; Bilec, Melissa M.</t>
  </si>
  <si>
    <t>Wang, Yafei; Liang, Sai</t>
  </si>
  <si>
    <t>Eisted, Rasmus; Christensen, Thomas H.</t>
  </si>
  <si>
    <t>Galdos, Marcelo; Cavalett, Otavio; Seabra, Joaquim E. A.; Horta Nogueira, Luiz Augusto; Bonomi, Antonio</t>
  </si>
  <si>
    <t>Gujba, H.; Mulugetta, Y.; Azapagic, A.</t>
  </si>
  <si>
    <t>Collinge, William O.; Landis, Amy E.; Jones, Alex K.; Schaefer, Laura A.; Bilec, Melissa M.</t>
  </si>
  <si>
    <t>He, Ling-Yun; Chen, Yu</t>
  </si>
  <si>
    <t>Baptista, Patricia C.; Silva, Carla M.; Farias, Tiago L.; Heywood, John B.</t>
  </si>
  <si>
    <t>Tonini, Davide; Astrup, Thomas</t>
  </si>
  <si>
    <t>Yue, Dajun; Khatav, Prasad; You, Fengqi; Darling, Seth B.</t>
  </si>
  <si>
    <t>Singh, Bhawna; Stromman, Anders H.; Hertwich, Edgar G.</t>
  </si>
  <si>
    <t>Bell, M. J.; Eckard, R. J.; Cullen, B. R.</t>
  </si>
  <si>
    <t>Livest. Sci.</t>
  </si>
  <si>
    <t>Modahl, Ingunn Saur; Askham, Cecilia; Lyng, Kari-Anne; Brekke, Andreas</t>
  </si>
  <si>
    <t>Saynajoki, Antti; Heinonen, Jukka; Junnila, Seppo</t>
  </si>
  <si>
    <t>Acosta-Alba, Ivonne; Lopez-Ridaura, Santiago; van der Werf, Hayo M. G.; Leterme, Philippe; Corson, Michael S.</t>
  </si>
  <si>
    <t>Flysjo, Anna; Cederberg, Christel; Henriksson, Maria; Ledgard, Stewart</t>
  </si>
  <si>
    <t>Dray, Lynnette M.; Schaefer, Andreas; Ben-Akiva, Moshe E.</t>
  </si>
  <si>
    <t>Verones, Francesca; Bartl, Karin; Pfister, Stephan; Jimenez Vilchez, Ricardo; Hellweg, Stefanie</t>
  </si>
  <si>
    <t>Williams, David; Elghali, Lucia; Wheeler, Russel; France, Chris</t>
  </si>
  <si>
    <t>Graveline, N.; Loubier, S.; Gleyses, G.; Rinaudo, J. -D.</t>
  </si>
  <si>
    <t>Bastani, Parisa; Heywood, John B.; Hope, Chris</t>
  </si>
  <si>
    <t>Passarini, Fabrizio; Ciacci, Luca; Santini, Alessandro; Vassura, Ivano; Morselli, Luciano</t>
  </si>
  <si>
    <t>Yang, Cheng Jung; Chen, Jahau Lewis</t>
  </si>
  <si>
    <t>Expert Syst. Appl.</t>
  </si>
  <si>
    <t>Bocken, N. M. P.; Allwood, J. M.; Willey, A. R.; King, J. M. H.</t>
  </si>
  <si>
    <t>Silva, Carla</t>
  </si>
  <si>
    <t>Yu, Dongwei; Tan, Hongwei; Ruan, Yingjun</t>
  </si>
  <si>
    <t>A future bamboo-structure residential building prototype in China: Life cycle assessment of energy use and carbon emission</t>
  </si>
  <si>
    <t>Bright, Ryan M.; Stromman, Anders Hammer; Peters, Glen P.</t>
  </si>
  <si>
    <t>Roes, A. L.; Patel, M. K.</t>
  </si>
  <si>
    <t>Viebahn, Peter; Lechon, Yolanda; Trieb, Franz</t>
  </si>
  <si>
    <t>Hamelin, Lorie; Wesnaes, Marianne; Wenzel, Henrik; Petersen, Bjorn M.</t>
  </si>
  <si>
    <t>Giurco, Damien; Cohen, Brett; Langham, Edward; Warnken, Matthew</t>
  </si>
  <si>
    <t>Technol. Forecast. Soc. Chang.</t>
  </si>
  <si>
    <t>Norgate, T.; Jahanshahi, S.</t>
  </si>
  <si>
    <t>Miner. Eng.</t>
  </si>
  <si>
    <t>Silalertruksa, Thapat; Gheewala, Shabbir H.</t>
  </si>
  <si>
    <t>Dufour, Javier; Serrano, David P.; Galvez, Jose L.; Moreno, Jovita; Gonzalez, Antonio</t>
  </si>
  <si>
    <t>Pires, Ana; Chang, Ni-Bin; Martinho, Graca</t>
  </si>
  <si>
    <t>Zhao, Yan; Christensen, Thomas H.; Lu, Wenjing; Wu, Huayong; Wang, Hongtao</t>
  </si>
  <si>
    <t>Mullins, Kimberley A.; Griffin, W. Michael; Matthews, H. Scott</t>
  </si>
  <si>
    <t>Venkatesh, G.; Hammervold, Johanne; Brattebo, Helge</t>
  </si>
  <si>
    <t>Urban Water J.</t>
  </si>
  <si>
    <t>Schreiber, A.; Zapp, P.; Markewitz, P.; Voegele, S.</t>
  </si>
  <si>
    <t>Dominguez-Ramos, Antonio; Held, Michael; Aldaco, Ruben; Fischer, Matthias; Irabien, Angel</t>
  </si>
  <si>
    <t>Allen, S. R.; Hammond, G. P.; Harajli, H. A.; McManus, M. C.; Winnett, A. B.</t>
  </si>
  <si>
    <t>Lee, Ji-Yong; An, Sanghyuk; Cha, Kyounghoon; Hur, Tak</t>
  </si>
  <si>
    <t>Vercalsteren, An; Spirinckx, Carolin; Geerken, Theo</t>
  </si>
  <si>
    <t>Lechtenboehmer, S.; Dienst, C.</t>
  </si>
  <si>
    <t>Lindner, Soren; Peterson, Sonja; Windhorst, Wilhelm</t>
  </si>
  <si>
    <t>Ahlgren, S.; Baky, A.; Bernesson, S.; Nordberg, A.; Noren, O.; Hansson, P. -A.</t>
  </si>
  <si>
    <t>Lehmann, Martin; Hietanen, Olli</t>
  </si>
  <si>
    <t>Basset-Mens, Claudine; Ledgard, Stewart; Boyes, Mark</t>
  </si>
  <si>
    <t>Ecol. Econ.</t>
  </si>
  <si>
    <t>Raugei, Marco; Frankl, Paolo</t>
  </si>
  <si>
    <t>Romero-Hernandez, Omar; Romero Hernandez, Sergio; Munoz, David; Detta-Silveira, Emiliano; Palacios-Brun, Arturo; Laguna, Adriana</t>
  </si>
  <si>
    <t>Reinhard, J.; Zah, Rainer</t>
  </si>
  <si>
    <t>Vieira, Pedro Santos; Horvath, Arpad</t>
  </si>
  <si>
    <t>Goymann, Melanie; Wittenwiler, Mathias; Hellweg, Stefanie</t>
  </si>
  <si>
    <t>Felder, Remo; Meier, Anton</t>
  </si>
  <si>
    <t>J. Sol. Energy Eng. Trans.-ASME</t>
  </si>
  <si>
    <t>Spielmann, Michael; de Haan, Peter; Scholz, Roland W.</t>
  </si>
  <si>
    <t>von Gleich, Arnim; Steinfeldt, Michael; Petschow, Ulrich</t>
  </si>
  <si>
    <t>Okamura, Tomohito; Furukawa, Michinobu; Ishitani, Hisashi</t>
  </si>
  <si>
    <t>Ally, Jamie; Pryor, Trevor</t>
  </si>
  <si>
    <t>J. Power Sources</t>
  </si>
  <si>
    <t>Koskela, Sirkka; Seppala, Jyri; Lipp, Ando; Hiltunen, Marja-Riitta; Pold, Evelin; Talve, Siret</t>
  </si>
  <si>
    <t>Nakano, Katsuyuki; Aoki, Ryosuke; Yagita, Hiroshi; Narita, Nobuhiko</t>
  </si>
  <si>
    <t>Viebahn, Peter; Nitsch, Joachim; Fischedick, Manfred; Esken, Andrea; Schuewer, Dietmar; Supersberger, Nikolaus; Zuberbuehler, Ulrich; Edenhofer, Ottmar</t>
  </si>
  <si>
    <t>Int. J. Greenh. Gas Control</t>
  </si>
  <si>
    <t>Liu, Jingru; Wang, Rusong; Yang, Jianxin</t>
  </si>
  <si>
    <t>Zah, R.; Hischier, R.; Leao, A. L.; Braun, I.</t>
  </si>
  <si>
    <t>Scharnhorst, Wolfram; Hilty, Lorenz M.; Jolliet, Olivier</t>
  </si>
  <si>
    <t>Environ. Int.</t>
  </si>
  <si>
    <t>Pehnt, M</t>
  </si>
  <si>
    <t>Thrane, M</t>
  </si>
  <si>
    <t>Werner, F; Taverna, R; Hofer, P; Richter, K</t>
  </si>
  <si>
    <t>SPRINGER FRANCE</t>
  </si>
  <si>
    <t>Ann. For. Sci.</t>
  </si>
  <si>
    <t>Raluy, RG; Serra, L; Uche, J; Valero, A</t>
  </si>
  <si>
    <t>Spielmann, M; Scholz, RW; Tietje, O; de Haan, P</t>
  </si>
  <si>
    <t>Cederberg, C; Wivstad, M; Bergkvist, P; Mattsson, B; Ivarsson, K</t>
  </si>
  <si>
    <t>ROYAL SWEDISH ACAD SCIENCES</t>
  </si>
  <si>
    <t>Ambio</t>
  </si>
  <si>
    <t>Stern, S; Sonesson, U; Gunnarsson, S; Öborn, I; Kumm, KI; Nybrant, T</t>
  </si>
  <si>
    <t>Garcia-Quijano, JF; Deckmyn, G; Moons, E; Proost, S; Ceulemans, R; Muys, B</t>
  </si>
  <si>
    <t>For. Ecol. Manage.</t>
  </si>
  <si>
    <t>Fitch, P; Cooper, JS</t>
  </si>
  <si>
    <t>Res. Eng. Design</t>
  </si>
  <si>
    <t>Hellweg, S; Hofstetter, TB; Hungerbühler, K</t>
  </si>
  <si>
    <t>Jungbluth, N; Bauer, C; Dones, R; Frischknecht, R</t>
  </si>
  <si>
    <t>Sonesson, U; Berlin, J</t>
  </si>
  <si>
    <t>Yokota, K; Matsuno, Y; Yamashita, M; Adachi, Y</t>
  </si>
  <si>
    <t>Contadini, JF; Moore, RM; Mokhtarian, PL</t>
  </si>
  <si>
    <t>Fukushima, Y; Hirao, M</t>
  </si>
  <si>
    <t>Ito, K; Uchiyama, Y; Takeshita, T; Hayashibe, H</t>
  </si>
  <si>
    <t>https://doi.org/10.3151/jact.3.53</t>
  </si>
  <si>
    <t>https://doi.org/10.1016/j.jpowsour.2017.08.041</t>
  </si>
  <si>
    <t>Aqueous hybrid ion batteries – An environmentally friendly alternative for stationary energy storage?</t>
  </si>
  <si>
    <t>Economic and environmental potential for solar assisted central heating plants in the EU residential sector: Contribution to the 2030 climate and energy EU agenda</t>
  </si>
  <si>
    <t>https://doi.org/10.3303/CET1867080</t>
  </si>
  <si>
    <t>http://dx.doi.org/10.3303/CET1863058</t>
  </si>
  <si>
    <t>https://doi.org/10.4028/www.scientific.net/KEM.572.535</t>
  </si>
  <si>
    <t>https://doi.org/10.3390/wevj5030800</t>
  </si>
  <si>
    <t>Moora, H.; Lahtvee, V.</t>
  </si>
  <si>
    <t>ELECTRICITY SCENARIOS FOR THE BALTIC STATES AND MARGINAL ENERGY TECHNOLOGY IN LIFE CYCLE ASSESSMENTS - A CASE STUDY OF ENERGY PRODUCTION FROM MUNICIPAL WASTE INCINERATION</t>
  </si>
  <si>
    <t>ESTONIAN ACADEMY PUBLISHERS</t>
  </si>
  <si>
    <t>Oil Shale</t>
  </si>
  <si>
    <t>Foidart, F.; Oliver-Sola, J.; Gasol, C. M.; Gabarrell, X.; Rieradevall, J.</t>
  </si>
  <si>
    <t>Falcone, G.; Lovarelli, D.; Bacenetti, J.</t>
  </si>
  <si>
    <t>Chemical Engineering Transactions</t>
  </si>
  <si>
    <t>Mah, C. M.; Fujiwara, T.; Ho, C. S.</t>
  </si>
  <si>
    <t>The Italian Association
of Chemical Engineering</t>
  </si>
  <si>
    <t>scientific.net</t>
  </si>
  <si>
    <t>Key Engineering Materials</t>
  </si>
  <si>
    <t>Laratte, B.; Guillaume, B.</t>
  </si>
  <si>
    <t>Messagie, M.; Lebeau, K.; Boureima, F.; Sergeant, N.; Macharis, C.; Van Mierlo, J.</t>
  </si>
  <si>
    <t>World Electric Vehicle Journal</t>
  </si>
  <si>
    <t>Guo, M.; Stuckey, D. C.; Murphy, R. J.</t>
  </si>
  <si>
    <t>Tonini, Davide; Martinez-Sanchez, Veronica; Astrup, Thomas Fruergaard</t>
  </si>
  <si>
    <t>Maximizing Environmental Impact Savings Potential through Innovative Biorefinery Alternatives: An Application of the TM-LCA Framework for Regional Scale Impact Assessment</t>
  </si>
  <si>
    <t>Vega, Giovanna Croxatto; Sohn, Joshua; Bruun, Sander; Olsen, Stig Irving; Birkved, Morten</t>
  </si>
  <si>
    <t>https://dx.doi.org/10.1504/IJGEI.2004.005894</t>
  </si>
  <si>
    <t>Life cycle assessment of a retrofit wastewater nutrient recovery system in metro Manila</t>
  </si>
  <si>
    <t>https://doi.org/10.3303/CET1870057</t>
  </si>
  <si>
    <t>https://doi.org/10.1504/IJTPM.2007.015169</t>
  </si>
  <si>
    <t>https://doi.org/10.1186/s13068-017-0761-9</t>
  </si>
  <si>
    <t>https://doi.org/10.1504/IJTPM.2005.008405</t>
  </si>
  <si>
    <t>Dones, Roberto; Zhou, Xin; Tian, Chunxiu</t>
  </si>
  <si>
    <t>International Journal of Global Energy Issues</t>
  </si>
  <si>
    <t>INDERSCIENCE</t>
  </si>
  <si>
    <t>Pausta, Carla Mae J.; Razon, Luis F.; Promentilla, Michael Angelo B.; Saroj, Devendra P.</t>
  </si>
  <si>
    <t>The Italian Association of Chemical Engineering</t>
  </si>
  <si>
    <t>International Journal of Technology, Policy and Management</t>
  </si>
  <si>
    <t>Andersen, Per Dannemand; Borup, Mads; Krogh, Thomas</t>
  </si>
  <si>
    <t>Farzad, Somayeh; Mandegari, Mohsen Ali; Guo, Miao; Haigh, Kathleen F.; Shah, Nilay; Görgens, Johann F.</t>
  </si>
  <si>
    <t>Biotechnology for Biofuels and Bioproducts</t>
  </si>
  <si>
    <t xml:space="preserve">Rasmussen, Birgitte; Borup, Mads; Borch, Kristian; Andersen, Per Dannemand </t>
  </si>
  <si>
    <t xml:space="preserve">Shima, Hirokazu; Tateyashiki, Hisashi; Matsuhashi, Ryuji; Yoshida, Yoshikuni </t>
  </si>
  <si>
    <t>Journal of Advanced Concrete Technology</t>
  </si>
  <si>
    <t>Peters, Jens F.; Weil , Marcel</t>
  </si>
  <si>
    <t>Journal of Power Sources</t>
  </si>
  <si>
    <t>Zimmermann, Albert; Baumgartner, Daniel; Nemecek, Thomas; Gaillard, Gerard</t>
  </si>
  <si>
    <t>Wang, Renjie; Wu, Ye; Ke, Wenwei; Zhang, Shaojun; Zhou, Boya; Hao, Jiming</t>
  </si>
  <si>
    <t>Fedele, Andrea; Mazzi, Anna; Niero, Monia; Zuliani, Filippo; Scipioni, Antonio</t>
  </si>
  <si>
    <t>Song, Qingbin; Wang, Zhishi; Wu, Ye; Li, Jinhui; Yu, Danfeng; Duan, Huabo; Yuan, Wenyi</t>
  </si>
  <si>
    <t>Villares, Marco; Isildar, Arda; van der Giesen, Coen; Guinee, Jeroen</t>
  </si>
  <si>
    <t>Tulus, Victor; Hany Abokersh, Mohamed; Cabeza, Luisa F.; Valles, Manel; Jimenez, Laureano; Boer, Dieter</t>
  </si>
  <si>
    <t>Building retrofit addressing occupancy: An integrated cost and environmental life-tycle analysis</t>
  </si>
  <si>
    <t>Prospective LCA towards achieving carbon neutrality goals: Framework application and challenges</t>
  </si>
  <si>
    <t>Fang, Ya-Xi; Wu, Pei-Ze; Chen, Sha; Li, Yu; Cui, Shu-Fen; Zhu, Jin-Xing; Cao, Hai-Zhou; Jiang, Ke-Jun; Zhong, Ling</t>
  </si>
  <si>
    <t>Koj, Jan Christian; Zapp, Petra; Wieland, Christoph; Goerner, Klaus; Kuckshinrichs, Wilhelm</t>
  </si>
  <si>
    <t>Life cycle environmental impacts and costs of water electrolysis technologies for green hydrogen production in the future</t>
  </si>
  <si>
    <t>Energy Sustain. Soc.</t>
  </si>
  <si>
    <t>Kunz, Luca; Griesel, Alexa; Eden, Carsten; Duran, Rodrigo; Sainte-Rose, Bruno</t>
  </si>
  <si>
    <t>Transient Attracting Profiles in the Great Pacific Garbage Patch</t>
  </si>
  <si>
    <t>COPERNICUS GESELLSCHAFT MBH</t>
  </si>
  <si>
    <t>Ocean Sci.</t>
  </si>
  <si>
    <t>http://dx.doi.org/10.1016/j.eiar.2024.107733</t>
  </si>
  <si>
    <t>http://dx.doi.org/10.1186/s13705-024-00497-6</t>
  </si>
  <si>
    <t>http://dx.doi.org/10.5194/os-20-1611-2024</t>
  </si>
  <si>
    <t>insufficient documentation on LCA part (see section 4.3.2.); only inormation provided about the data applied: "Data was collected from EcoInvent database (REF), governmental agencies, namely the Ministry of Mines and Energy (MME), the Energy Research Company (EPE) and the National Electricity Regulatory Agency (ANEEL)."</t>
  </si>
  <si>
    <t>insufficient documentation on LCA part (see section 3.3.1.1.: "The assumptions for GHG emissions at the point of electricity generation (direct emissions) for different scenarios are given in Table 5. The life cycle environmental impacts of technologies are sourced from Santoyo-Castelazo et al. (2011, 2014), Ecoinvent (Dones et al., 2007; Jungbluth et al., 2007) and GEMIS (Oko Institute, 2005)."), SI does not provide any more information on the inventories</t>
  </si>
  <si>
    <t>no life cycle perspective</t>
  </si>
  <si>
    <t>insufficient documentation</t>
  </si>
  <si>
    <t>only direct emissions ("Therefore, in this paper we want to analyze the direct GHG emissions resulting from the electricity supply.")</t>
  </si>
  <si>
    <t>"The system boundaries were limited to the agricultural phase of the different crops, meadows and pastures that were included within the Luxembourgish agricultural system. More specifically, the boundaries included only the soil column of arable land in order to calculate the selected environmental indicators for land use impacts."</t>
  </si>
  <si>
    <t>"The inclusion of time dimension would allow dynamic analysis of GHG emission and consumption of energy resources, taking into account variability of demand and supply in the course of the year and life cycle amortization/replacement of plants."</t>
  </si>
  <si>
    <t>no time-explicit future scenarios</t>
  </si>
  <si>
    <t>city-/municipality-level</t>
  </si>
  <si>
    <t>neighbourhood-level</t>
  </si>
  <si>
    <t>organisation-/company-level</t>
  </si>
  <si>
    <t>household-level</t>
  </si>
  <si>
    <t>product-/service-/technology-level</t>
  </si>
  <si>
    <t>facility-level (plant, factory, refinery, landfill, industrial complex, farm, mine, ...)</t>
  </si>
  <si>
    <t>facility-level (plant, factory, refinery, landfill, industrial complex, farm, mine, ...); consequences of introducing one plant ("In our case study, the goal is to observe the consequences of the introduction of the BTL technology in the French energy and transportation sectors with a time horizon set at 2030. Thus, we define a functional unit that involves the whole assessed system (French energy and transportation sectors) and compare situations with and without the introduction of a BTL plant.")</t>
  </si>
  <si>
    <t>facility-level (plant, factory, refinery, landfill, industrial complex, farm, mine, ...); "The aim of this LCA tool, as used in combination with the model SILAS, is to estimate the environmental impacts of modelled farms for different Swiss agricultural policy scenarios. The SILAS model results are therefore scaled down to average farms."</t>
  </si>
  <si>
    <t>facility-level (plant, factory, refinery, landfill, industrial complex, farm, mine, ...); one " water supply system located in northeast US"</t>
  </si>
  <si>
    <t>"Technological evolutions in the generation processes are beyond the scope of the current study and therefore not taken into account."</t>
  </si>
  <si>
    <t>see "Albers et al. (2019): Coupling partial-equilibrium and dynamic biogenic carbon models to assess future transport scenarios in France.", which this paper is based on</t>
  </si>
  <si>
    <t>see table S1</t>
  </si>
  <si>
    <t>use the outputs of a PEM as LCIs ("In the LCA context, the PEM commodities represent the technical flows, while all life cycle carbon and GHG emissions the elementary"), updating the emissions using JRC emission factors ("all elementary flows of the transport-pathways are re-calculated, using the updated emission factors of the European Commission Joint Research Centre (EC-JRC) based on the JEC Well-To-Wheels (WTW) method [82]. The emission factors are expressed in equivalent CO2 emissions per MJ petroleum- or biomass-sourced fuels."), which indicates that the PEM output does not have a life cycle perspective (as expected) and that the BG emission factors are constant; due to these two reasons, the study is excluded from the sample</t>
  </si>
  <si>
    <t>see table 4</t>
  </si>
  <si>
    <t>see tables A1 to A6</t>
  </si>
  <si>
    <t>see table 2</t>
  </si>
  <si>
    <t>see table 6</t>
  </si>
  <si>
    <t>see section 4.2</t>
  </si>
  <si>
    <t>see tables 1 and 2; "The reference scenarios (indicated in Table 1) reflect the currently prevailing situation and are assumed to also be valid in 2035."</t>
  </si>
  <si>
    <t>see Goal and Scope section</t>
  </si>
  <si>
    <t>"Aquaculture improvements were not accounted for in the current research, but are of course to be expected."</t>
  </si>
  <si>
    <t>"To include all the emissions and their related potential impacts, the impact factors for each technology (kgCO2-eq/kWh) are calculated using ecoinvent 3.5 [61]"; also see sections 2.2 and 2.3 in the SI</t>
  </si>
  <si>
    <t>see section 2.5.2, table 4 and table 5</t>
  </si>
  <si>
    <t>see section "Comparative LCA of Buildings"</t>
  </si>
  <si>
    <t>"The optimisation leads to “dynamic” solutions for the electricity mix in the long term In this sense, the distinction between existing and new technologies partly mitigates methodological concerns on the consequential approach takes place through ESM, minimising all system costs subject to an extensive use of constant LCIs for the forecasted period. While the LCIs of the technologies are “static”, the set of technologies’ parameters and restrictions such as emission limits. Therefore, the use of ESM use of techno-economic optimisation leads to “dynamic” solutions for the electricity mix in the long facilita term."</t>
  </si>
  <si>
    <t>see table S6</t>
  </si>
  <si>
    <t>see section 3.2 and and table 3</t>
  </si>
  <si>
    <t>see table 3, "Based on the emissions factors in Table 3 and the scenario electricity supply by each PV thin film solar technology of 603 TWh in 2050, we estimated the CO2 emissions saved by these technologies compared to a coal fired technology."</t>
  </si>
  <si>
    <t>"The LCI data sets remained constant over time"</t>
  </si>
  <si>
    <t>"Finally, we assume that changes in the amounts of glass-based and competing products do not lead to changes in technologies in supply chains of these products. All Swiss waste glass-packaging are small compared to other industrial activities in Switzerland. Moreover, glass-packaging production in Switzerland is a highly optimized activity, so that an increase in production should not lead to major technological shifts. Foamglass production, ayounger activity withthe potential to increaseenergyefficiency, is the object of a sensitivity analysis in this respect."</t>
  </si>
  <si>
    <t>see "Senan-Salinas et al. (2021): Prospective Life Cycle Assessment and economic analysis of direct recycling of end-of-life reverse osmosis membranes based on Geographic Information Systems"</t>
  </si>
  <si>
    <t>Lechtenberg, Fabian; Istrate, Robert; Tulus, Victor; Espuna, Antonio; Graells, Moises; Guillen-Gosalbez, Gonzalo</t>
  </si>
  <si>
    <t>Huber, Dominik; van den Oever, Anne; Philippot, Maeva Lavigne; Costa, Daniele; Coosemans, Thierry; Messagie, Maarten</t>
  </si>
  <si>
    <t>Powering the circular future: Climate change and economic perspectives on second-life batteries in the Belgian context</t>
  </si>
  <si>
    <t>Expanding scenario diversity in prospective LCA: Coupling the TIAM-UCL integrated assessment model with Premise and ecoinvent</t>
  </si>
  <si>
    <t>Piyatilleke, Sajani; Thevarajah, Bavatharny; Nimarshana, P. H. V.; Ariyadasa, Thilini U.</t>
  </si>
  <si>
    <t>Microalgal biofuels: Challenges and prospective in the framework of circular bioeconomy</t>
  </si>
  <si>
    <t>Energy Nexus</t>
  </si>
  <si>
    <t>"The temporal scope ranges from today up to circa 2050, in line with decarbonisation projections (CCC, 2019)." is not considered enough to fulfill this criterion</t>
  </si>
  <si>
    <t>Zhang, Xiaoqin; Zhu, Hongbin; Cheng, Ziying; Shao, Jian; Yu, Xiang; Jiang, Jun</t>
  </si>
  <si>
    <t>Yuan, Min; Li, Zihao; Teng, Zhan</t>
  </si>
  <si>
    <t>A review of carbon emissions accounting and prediction on the power grid</t>
  </si>
  <si>
    <t>Progress and prospects of recycling technology for carbon fiber reinforced polymer</t>
  </si>
  <si>
    <t>Electr. Eng.</t>
  </si>
  <si>
    <t>Front. Mater.</t>
  </si>
  <si>
    <t>Pedneault, Julien; Majeau-Bettez, Guillaume; Krey, Volker; Margni, Manuele</t>
  </si>
  <si>
    <t>What future for primary aluminium production in a decarbonizing economy?</t>
  </si>
  <si>
    <t>see Appendix A; "The main data source used for the life cycle inventory (LCI) analysis was the reputable and widely-used Ecoinvent version 3.5 database [33], complemented where appropriate and required by a range of other literature sources as described in detail in Section 2.2." and section 2.2 (in which no time-related changes are described)</t>
  </si>
  <si>
    <t>N/A</t>
  </si>
  <si>
    <t>Sharma, Tarun; Chauhan, Prakram Singh; Patel, Maulik; Singh, Akashdeep; Kaur, Manmeet; Chauhan, Garima; Rana, Bharat Bhushan; Kumar, Naveen; Walia, Abhishek</t>
  </si>
  <si>
    <t>Carbon negative biofuels: a step ahead of carbon neutrality</t>
  </si>
  <si>
    <t>LCA results are not scaled, the demand scenario is given as separate result without connecting it to the LCA results</t>
  </si>
  <si>
    <t>A Dynamic Fleet Model of U.S Light-Duty Vehicle Lightweighting and Associated Greenhouse Gas Emissions from 2016 to 2050</t>
  </si>
  <si>
    <t>Tarabay, Bassel; Milovanoff, Alexandre; Abdul-Manan, Amir F. N.; Mckechnie, Jon; MacLean, Heather. L.; Posen, I. Daniel</t>
  </si>
  <si>
    <t>Xue, Xingyu; Sun, Xin; Ma, Hongrui; Li, Jianxin; Hong, Frank T.; Du, Sha</t>
  </si>
  <si>
    <t>Milovanoff, Alexandre; Kim, Hyung Chul; De Kleine, Robert; Wallington, Timothy J.; Posen, I. Daniel; MacLean, Heather L.</t>
  </si>
  <si>
    <t>New cathodes now, recycling later: Dynamic scenarios to reduce battery material use and greenhouse gas emissions from US light-duty electric vehicle fleet</t>
  </si>
  <si>
    <t>Transportation decarbonization requires life cycle-based regulations: Evidence from China's passenger vehicle sector</t>
  </si>
  <si>
    <t>Milovanoff, Alexandre; Maclean, Heather L.; Abdul-Manan, Amir F. N.; Posen, I. Daniel</t>
  </si>
  <si>
    <t>Does the metric matter? Climate change impacts of light-duty vehicle electrification in the US</t>
  </si>
  <si>
    <t>Environ. Res.-Infrastruct. Sustain.</t>
  </si>
  <si>
    <t>Llamas-Orozco, Jorge A.; Meng, Fanran; Walker, Gavin S.; Abdul-Manan, Amir F. N.; Maclean, Heather L.; Posen, I. Daniel; McKechnie, Jon</t>
  </si>
  <si>
    <t>Estimating the environmental impacts of global lithium-ion battery supply chain: A temporal, geographical, and technological perspective</t>
  </si>
  <si>
    <t>PNAS Nexus</t>
  </si>
  <si>
    <t>Simaitis, Joris; Butnar, Isabela; Sacchi, Romain; Lupton, Rick; Vagg, Christopher; Allen, Stephen</t>
  </si>
  <si>
    <t>Jog, Sachin; Vazquez, Daniel; Santos, Lucas F.; Medrano-Garcia, Juan D.; Guillen-Gosalbez, Gonzalo</t>
  </si>
  <si>
    <t>Green hydrogen production by PEM water electrolysis up to the year 2050: Prospective life cycle assessment using learning curves</t>
  </si>
  <si>
    <t>Sustainable Development Goals-Based Prospective Process Design Using Hybrid Modeling</t>
  </si>
  <si>
    <t>Ind. Eng. Chem. Res.</t>
  </si>
  <si>
    <t>Beltran, Angelica Mendoza; Cox, Brian; Mutel, Chris; van Vuuren, Detlef P.; Vivanco, David Font; Deetman, Sebastiaan; Edelenbosch, Oreane Y.; Guinee, Jeroen; Tukker, Arnold</t>
  </si>
  <si>
    <t>only the technology-level results are prospective ("The climate mitigation potentials associated with fossil fuel substitution (Fig. 6a and b) are calculated based on the current situation.")</t>
  </si>
  <si>
    <t>Veeramuthu, Ashokkumar; Kumar, Gopalakrishnan; Lakshmanan, Hariprasath; Chandramughi, V. P.; Flora, G.; Kothari, Richa; Piechota, Grzegorz</t>
  </si>
  <si>
    <t>A critical review of biogas production and upgrading from organic wastes: Recent advances, challenges and opportunities</t>
  </si>
  <si>
    <t>BIOMASS BIOENERG</t>
  </si>
  <si>
    <t>n/a</t>
  </si>
  <si>
    <t>Brand, Christian; Anable, Jillian; Ketsopoulou, Ioanna; Watson, Jim</t>
  </si>
  <si>
    <t>Road to zero or road to nowhere? Disrupting transport and energy in a zero carbon world</t>
  </si>
  <si>
    <t>Brand, Christian; Anable, Jillian; Tran, Martino</t>
  </si>
  <si>
    <t>Accelerating the transformation to a low carbon passenger transport system: The role of car purchase taxes, feebates, road taxes and scrappage incentives in the UK</t>
  </si>
  <si>
    <t>Brand, C.; Marsden, G.; Anable, J. L.; Dixon, J.; Barrett, J.</t>
  </si>
  <si>
    <t>Achieving deep transport energy demand reductions in the United Kingdom</t>
  </si>
  <si>
    <t>Cabrera-Jimenez, Richard; Mateo, Josep Maria; Jimenez, Laureano; Pozo, Carlos</t>
  </si>
  <si>
    <t>Hernandez, Natalie; Trubowitz, Alexander; Zacher, Sam</t>
  </si>
  <si>
    <t>Prospective life-cycle assessment of sustainable alternatives for road freight transport</t>
  </si>
  <si>
    <t>The Insurance Value of Abortion and Support for Reproductive Rights</t>
  </si>
  <si>
    <t>SPRINGER/PLENUM PUBLISHERS</t>
  </si>
  <si>
    <t>Polit. Behav.</t>
  </si>
  <si>
    <t>IAM demand for DACCS is only used for the technological learning at small-scale, not to scale up the LCA results</t>
  </si>
  <si>
    <t>the research object are data centres, but only their electricity consumption is considered; despite including the upstream emissions of the electricity generation, we do not consider this enough to fulfill our life cycle perspective criterion ("Finally, the method presented in this study addresses the use phase of future data centers, but the other life cycle phases, such as the manufacture and end of life, should also be considered in the evaluation of data center deployment.")</t>
  </si>
  <si>
    <t>Soderman, Maria Ljunggren; Eriksson, Ola; Bjorklund, Anna; Ostblom, Goran; Ekvall, Tomas; Finnveden, Goran; Arushanyan, Yevgeniya; Sundqvist, Jan-Olov</t>
  </si>
  <si>
    <t>Integrated Economic and Environmental Assessment of Waste Policy Instruments</t>
  </si>
  <si>
    <t>MDPI AG</t>
  </si>
  <si>
    <t>Leng, Jiewu; Li, Rongjie; Xie, Junxing; Zhou, Xueliang; Li, Xiang; Liu, Qiang; Chen, Xin; Shen, Weiming; Wang, Lihui</t>
  </si>
  <si>
    <t>Federated learning-empowered smart manufacturing and product lifecycle management: A review</t>
  </si>
  <si>
    <t>Fozer, Daniel; Owsianiak, Mikolaj; Hauschild, Michael Zwicky</t>
  </si>
  <si>
    <t>Han, Ziyi; Teah, Heng Yi; Hirasawa, Izumi; Kikuchi, Yasunori</t>
  </si>
  <si>
    <t>Prospective life cycle assessment of emerging silver nanoparticle synthesis methods: One-pot polyethyleneimine chemical reduction and biological reductions</t>
  </si>
  <si>
    <t>Quantifying environmental learning and scaling rates for prospective life cycle assessment of e-ammonia production</t>
  </si>
  <si>
    <t>Naegler, T.; Buchgeister, J.; Hottenroth, H.; Simon, S.; Tietze, I; Viere, T.; Junne, T.</t>
  </si>
  <si>
    <t>Life cycle-based environmental impacts of energy system transformation strategies for Germany: Are climate and environmental protection conflicting goals?</t>
  </si>
  <si>
    <t>Energy Rep.</t>
  </si>
  <si>
    <t>Future Life-Cycle Greenhouse Gas Emission Scenarios for the Austrian Building Stock: A Systematic Approach</t>
  </si>
  <si>
    <t>Horup, Lise; Bruhn, Simon; Hoxha, Endrit; Birgisdottir, Harpa; Qvist Secher, Andreas; Ohms, Pernille; Hauschild, Michael</t>
  </si>
  <si>
    <t>https://doi.org/10.1016/j.scitotenv.2025.178780</t>
  </si>
  <si>
    <t>Absolute sustainability assessment of the Danish building sector through prospective LCA</t>
  </si>
  <si>
    <t>Arvesen, Anders; Hertwich, Edgar G.</t>
  </si>
  <si>
    <t>Trade-off between critical metal requirement and transportation decarbonization in automotive electrification</t>
  </si>
  <si>
    <t>Zhang, Chunbo; Zhao, Xiang; Sacchi, Romain; You, Fengqi</t>
  </si>
  <si>
    <t>Alaux, Nicolas; Steubing, Bernhard; Habert, Guillaume; Saade, Marcella Ruschi Mendes; Passer, Alexander</t>
  </si>
  <si>
    <t>Zibunas, Christian; Meys, Raoul; Kaetelhoen, Arne; Bardow, Andre</t>
  </si>
  <si>
    <t>Cost-optimal pathways towards net-zero chemicals and plastics based on a circular carbon economy</t>
  </si>
  <si>
    <t>Hahn Menacho, Alvaro J.; Sacchi, Romain; Bauer, Christian; Panos, Evangelos; McKenna, Russell; Burgherr, Peter</t>
  </si>
  <si>
    <t>The material-energy nexus in net-zero transition scenarios: exploring environmental trade-offs and uncertainties</t>
  </si>
  <si>
    <t>https://doi.org/10.1016/j.resconrec.2025.108251</t>
  </si>
  <si>
    <t>The cost and climate impact of myopic investment decisions in the chemical industry</t>
  </si>
  <si>
    <t>Vielma, Carlos A.; Svobodova-Sedlackova, Adela; Chimenos, Josep Maria; Fernandez, Ana Ines; Berlanga, Carlos; Rodriguez, Rafael; Barreneche, Camila</t>
  </si>
  <si>
    <t>Pushpendra; Schonhoff, Andreas; Fuechsl, Stefan Christian; Roeder, Hubert; Zapp, Petra</t>
  </si>
  <si>
    <t>Hong, Juntaek; Choi, Ja Young; Kwon, Jeong Yi; Shin, Yong Beom; Yang, Shin-seung; Jang, Dae-Hyun; Yoon, Jin A.; Rha, Dong-wook</t>
  </si>
  <si>
    <t>Huang, Zhuoying; Ji, Mengdi; Boulton, Matthew L.; Ren, Jia; Sun, Xiaodong; Wagner, Abram L.</t>
  </si>
  <si>
    <t>Valorisation of Red Mud: Disclosing the Potential of an Abundant Residue</t>
  </si>
  <si>
    <t>Prospective Life Cycle Assessment and upscaling of an emerging biorefinery process: A case study on methyl ketone</t>
  </si>
  <si>
    <t>Korean Cerebral Palsy Registry (KCPR): study rationale and protocol of a multicentre prospective cohort study</t>
  </si>
  <si>
    <t>Longitudinal association between parents' reported vaccination program preferences and children's actual immunization patterns in Shanghai, China</t>
  </si>
  <si>
    <t>BMC Public Health</t>
  </si>
  <si>
    <t>Strategies to reduce the global carbon footprint of plastics</t>
  </si>
  <si>
    <t>Zheng, Jiajia; Suh, Sangwon</t>
  </si>
  <si>
    <t>NATURE PUBLISHING GROUP</t>
  </si>
  <si>
    <t>Li, Jiashuo; Sun, Qianhui; Yang, Fan; Wang, Chen; Feng, Kuishuang; Xin, Yu; Wang, Wenxin; Li, Dan</t>
  </si>
  <si>
    <t>Postweiler, P.; Rezo, D.; Engelpracht, M.; Nilges, B.; von der Assen, N.</t>
  </si>
  <si>
    <t>Maree, E.; Blignaut, J. N.; Du Toit, C. J. L.; Meissner, H. H.; Ederer, P.</t>
  </si>
  <si>
    <t>Sossa, Jhon Wilder Zartha; Monsalve, Adriana Maria Zuluaga; Posada, Nolberto Gutierrez; Montoya, Luis Horacio Botero; Piedrahita, Juan Carlos Palacio; Mendoza, Gina Lia Orozco; Sarta, John Fredy Moreno; Grisales, Liliana Valencia; Lopez, Camilo Andres Grajales</t>
  </si>
  <si>
    <t>Expanding the emissions trading system coverage can increase the cost competitiveness of low-carbon ammonia in China</t>
  </si>
  <si>
    <t>Low-cost negative emissions by demand-side management for adsorption-based direct air carbon capture and storage</t>
  </si>
  <si>
    <t>Review: The need for holistic, sector-tailored sustainability assessments for milk- and plant-based beverages</t>
  </si>
  <si>
    <t>Prospective 2035 for the dairy agroindustrial chain: using the Delphi approach and scenario methodology</t>
  </si>
  <si>
    <t>Commun. Earth Environ.</t>
  </si>
  <si>
    <t>Carbon Neutrality</t>
  </si>
  <si>
    <t>Animal</t>
  </si>
  <si>
    <t>Front. Sustain. Food Syst.</t>
  </si>
  <si>
    <t>https://doi.org/10.1038/s43247-025-02220-5</t>
  </si>
  <si>
    <t>The global environmental footprint of Switzerland’s net-zero energy system uncovers impacts abroad</t>
  </si>
  <si>
    <t>Hahn Menacho, Alvaro J.; Sacchi, Romain; Bauer, Christian; Moretti, Christian; Panos, Evangelos; McKenna, Russell; Burgherr, Peter</t>
  </si>
  <si>
    <t>Nurdiawati, Anissa; Tahir, Furqan; Zaini, Ilman Nuran; Al-Ghamdi, Sami G.</t>
  </si>
  <si>
    <t>Prospective environmental and economic assessment of green steel production in the Middle East</t>
  </si>
  <si>
    <t>Bialowolski, Piotr; Cwynar, Andrzej; Weziak-Bialowolska, Dorota</t>
  </si>
  <si>
    <t>Financially literate consumers and their credit portfolios: longitudinal evidence from PSID data</t>
  </si>
  <si>
    <t>Absolute Environmental Sustainability Assessment of Emerging Working Fluids in Organic Rankine Cycles</t>
  </si>
  <si>
    <t>Shirmohammadi, Reza; Vazquez, Daniel; Calvo-Serrano, Raul; Llovell, Felix; Gonzalez-Olmos, Rafael</t>
  </si>
  <si>
    <t>Int. J. Bank Mark.</t>
  </si>
  <si>
    <t>Kumari, Poonam; Mohan, S. Venkata</t>
  </si>
  <si>
    <t>Lacey Jr, James V.; Spielfogel, Emma S.; Benbow, Jennifer L.; Savage, Kristen E.; Lin, Kai; Anderson, Cheryl A. M.; Clague-DeHart, Jessica; Duffy, Christine N.; Martinez, Maria Elena; Park, Hannah Lui; Thompson, Caroline A.; Wang, Sophia S.; Chandra, Sandeep</t>
  </si>
  <si>
    <t>Metabolic channelling in Rhodopseudomonas palustris for diversification and sustainability assessment of polyhydroxyalkanoates</t>
  </si>
  <si>
    <t>Automated self-service cohort selection for large-scale population sciences and observational research: The California teachers study researcher platform</t>
  </si>
  <si>
    <t>Parameters influencing the prospective life cycle emissions of the Austrian building stock: a global sensitivity analysis</t>
  </si>
  <si>
    <t>A novel assessment framework for circular urban areas with its application to a Swedish municipality</t>
  </si>
  <si>
    <t>Strengthening Social Life Cycle Assessment for a just bioeconomy: Insights from Namibia's bush-based value chains</t>
  </si>
  <si>
    <t>Bouillon, Catherine; Boulakia, Benjamin Cohen; Beddiar, Karim; Jaboin, Yves; Duval, Fabrice</t>
  </si>
  <si>
    <t>de Bortoli, Anne; Chanel, Alexis; Chabas, Camille; Greffe, Titouan; Louineau, Estelle</t>
  </si>
  <si>
    <t>Alaux, Nicolas; Schwark, Benedict; Scherz, Marco; Saade, Marcella Ruschi Mendes; Passer, Alexander</t>
  </si>
  <si>
    <t>van der Veen, Susan; Limpurg, Elisabeth van Rechteren; Asveld, Lotte; Chandrasekaran, Sivaramakrishnan</t>
  </si>
  <si>
    <t>Papageorgiou, Asterios; Bjorklund, Anna; Sinha, Rajib</t>
  </si>
  <si>
    <t>Multi-LOD generative approach for multi-objective sustainability optimization from the early stages of building design</t>
  </si>
  <si>
    <t>More rationality and inclusivity are imperative in reference transition scenarios based on IAMs and shared socioeconomic pathways-recommendations for prospective LCA</t>
  </si>
  <si>
    <t>Knuevener, Lena Katharina; Kalverkamp, Sebastian; Spillner, Jan; Wallqvist, Julia; Khader, Wiam; Ziemann, Sebastian; Schuler, Julia; Mankaa, Rose Nangah; Traverso, Marzia; Gruesser, Linda</t>
  </si>
  <si>
    <t>The thoracic surgery patient's journey through the hospital - a pilot project on resource consumption and potentials for sustainability</t>
  </si>
  <si>
    <t>Langenbecks Arch. Surg.</t>
  </si>
  <si>
    <t>Lai, Yat Yin; Bjorklund, Anna</t>
  </si>
  <si>
    <t>You, Junli; Lv, Xiaohong; Rong, Yu; Chen, Xuepiao; Liu, Tianxiao; Xie, Yubo</t>
  </si>
  <si>
    <t>Prospective life cycle assessment of future Swedish hydrogen-powered aviation pathways</t>
  </si>
  <si>
    <t>Analysis of frailty change trajectories and its risk factors in patients with gastrointestinal tumor surgery: a prospective observational longitudinal study</t>
  </si>
  <si>
    <t>World J. Surg. Oncol.</t>
  </si>
  <si>
    <t>no</t>
  </si>
  <si>
    <t>midpoint</t>
  </si>
  <si>
    <t>yes</t>
  </si>
  <si>
    <t>not specified</t>
  </si>
  <si>
    <t>ecoinvent v3.6</t>
  </si>
  <si>
    <t>not defined</t>
  </si>
  <si>
    <t>6 scenarios: “The scenarios differ with respect to resources prices and footprints, carbon prices, and available technologies."; technology choice always based on by cost-minimization (considering the applied constraints)
- "Business-as-Usual scenario" (BAU): crude oil, natural gas, electricity and carbon prices from “eponymous scenario of the International Energy Agency (International Energy Agency, 2018b)”; biomass price assumed constant over time based on literature; only grid-based electricity based on IEA SDS scenario (see field 'Prospective variables' BG)
- "Sustainable Development Scenario" (SDS): same as BAU, but no constraint on technologies and recycling rate
-  4 “net-zero pathways”: SDS resource price trajectories except for the carbon price (determined based on constraint of net-zero GHG emissions by 2050) and the electricity price (linear interpolation between 2020 and 2030 36 USD/MWh, thereafter constant); electricity supply at 20 g CO2eq /kWh (off-grid renewable electricity); specific by technology constraints (see below; all allowing “conventional fossil technologies and waste treatment via landfilling or energy recovery”)
-- “Elect + Rec”: electrification (including CCU) and recycling (allow recycling rates higher than in BAU)
-- “Elect + Bio”: electrification and biomass; current recycling rate of 23 % remains until 2050
-- “Bio + Rec”: biomass and recycling; current recycling rate of 23 % remains until 2050
-- “All”: combination of electrification, biomass and recycling  (allow recycling rates higher than in BAU)
the technology constraints are applied by constraining the respective value in the scaling vector</t>
  </si>
  <si>
    <t>- "GHG emissions from transport are neglected."
- "as the climate impact from the construction of chemical plants is small compared to the impact from the operation1, we neglect elementary flows from construction"</t>
  </si>
  <si>
    <t>"We include GHG emissions from the production and the end-of-life of chemicals and plastics.": excluding use phase</t>
  </si>
  <si>
    <t>cradle-to-gate &amp; EoL</t>
  </si>
  <si>
    <t>yearly</t>
  </si>
  <si>
    <t>2020 to 2050</t>
  </si>
  <si>
    <t>global</t>
  </si>
  <si>
    <t>intermediate goods</t>
  </si>
  <si>
    <t>SI</t>
  </si>
  <si>
    <t>"global"; "large-scale deployment"</t>
  </si>
  <si>
    <t>"Dynamic expansion of the technology choice model"; "pathway"; "transition"</t>
  </si>
  <si>
    <t>no explicit ones</t>
  </si>
  <si>
    <t>http://dx.doi.org/10.1016/j.compchemeng.2022.107798</t>
  </si>
  <si>
    <t>LSA-OAT</t>
  </si>
  <si>
    <t>not made explicit, but because the authors stress that this study is the same as their previous ones with the exception of including miyopic decision making, we it is the same as in Zibunas et al. 2022: neglection of transport and chemical plant construction</t>
  </si>
  <si>
    <t>"including the production of chemicals and plastics, the corresponding upstream supply chain, utilities, and disposal at the end of life. Explicitly modeling the usephase of chemicals and plastics is not possible due to a lack of data.": excluding use phase</t>
  </si>
  <si>
    <t>"The functional unit quantifies the function of the investigated product system. In this study, the system’s function is the global production of 18 large-volume base chemicals, 14 large-volume plastics, and the treatment of corresponding plastic waste between 2020 and 2050."</t>
  </si>
  <si>
    <t>"The goal of this study is to assess the impact of myopic decisionmaking on the costs and GHG emissions of the global chemical industry."
- defined again in the SI (section 3.4) as "The study’s goal is to compare long-term and myopic decision-making."</t>
  </si>
  <si>
    <t>"global"</t>
  </si>
  <si>
    <t>"time-resolved version (Zibunas et al., 2022) of the Technology Choice Model"</t>
  </si>
  <si>
    <t>http://dx.doi.org/10.1016/j.compchemeng.2024.108721</t>
  </si>
  <si>
    <t>"we employ a sensitivity analysis to show how the High efficiency scenario is influenced by different assumptions on several variables: more intensive use, lightweight design, lifetime extension, material substitution, and more recovery.", specific sensitivity range defined for each based on literature</t>
  </si>
  <si>
    <t>both</t>
  </si>
  <si>
    <t>cut-off by classification</t>
  </si>
  <si>
    <t>2 scenarios: one with measures and one without, but also show results for the implementation of each measure alone
1) Baseline: 
- floor area per capita: residential from IMAGE, commercial from Deetman et al. (2020)
- building lifetimes: constant over time
- material intensities: constant over time
- recycling rate: constant over time
- reuse: no reuse
- material production: constant over time
2) "High efficiency": all 7 mitigation strategies implemented (see field "Prospective variables"); "The literature supporting the feasibility of these strategies often provides a target by 2050, not 2060. In such cases, we extrapolate these targets to 2060."
- floor area per capita: 20% reduction from Baseline values by 2050 assumed (based on literature), modelled by cubic spline interpolation
- building lifetimes: "extension by 30%, 60%, and 90% by 2050 for residential buildings newly constructed in the regions classified as having long-, medium-, and short-lifetimes, respectively"
- material intensities: linear decrease reaching a specific reduction by 2050 (19% for steel and aluminium, 10% for concreate; for other materials assumed constant), constant afterwards
-- material substitution: 10% higher timber substitution than currently in new buildings (except for high-ruse) by 2050 ("That is, a fraction (10% in 2050, for example) of new buildings are designed as wood-based while other buildings conform to the Baseline material intensity (or the light-weighted intensity when light-weight design is applied).")
- recycling rate: linear increase from 2020 to 2050 values (90% for steel, 93% for copper and 95% for aluminium; for other materials assumed constant), constant afterwards
- reuse: linear increase of reuse for concrete and steel to 15% in 2050, constant afterwards
- material production: 
-- energy efficiency: yearly improvements for steel (1.5%), aluminium smelting (0.5%), copper (1.77% for electricity, 1.5% for steel); all based on literature
-- copper production routes: "market shares of hydrometallurgical and pyrometallurgical primary copper production based on Harpprecht et al. (2021)"</t>
  </si>
  <si>
    <t>only the production of the building materials</t>
  </si>
  <si>
    <t>cradle-to-gate</t>
  </si>
  <si>
    <t>2020 to 2060</t>
  </si>
  <si>
    <t>only mentioned in the SI (section 6): "aim of this research is to evaluate long-term materials and emission trends across different regions and income groups"</t>
  </si>
  <si>
    <t>MIT License (both Github and Zenodo)</t>
  </si>
  <si>
    <t>"global level"; "sector"</t>
  </si>
  <si>
    <t>"prospective LCA"</t>
  </si>
  <si>
    <t>ecoinvent v3.4; ELCD 3.3</t>
  </si>
  <si>
    <t>- use phase
- "Due to the complex supply chain of textile industry, we cut off at yarn production and exclude the subsequent conversion processes including fabric production and garment production."</t>
  </si>
  <si>
    <t>2015 to 2050</t>
  </si>
  <si>
    <t>"global scale"; "total global life-cycle GHG emissions"; "large-scale adoption"; "large-scale shift"; "large-scale commercialization"</t>
  </si>
  <si>
    <t xml:space="preserve"> "future trajectories"</t>
  </si>
  <si>
    <t>ecoinvent v3.8</t>
  </si>
  <si>
    <t>production &amp; EoL of building materials only (excluding use phase, construction, ...)</t>
  </si>
  <si>
    <t>2015 to 2055</t>
  </si>
  <si>
    <t>national</t>
  </si>
  <si>
    <t>Switzerland</t>
  </si>
  <si>
    <t>SI, Mendeley data</t>
  </si>
  <si>
    <t>conduct a sensitivity on market shares of battery technologies that is irrelevant for the LCA results because the manufacturing of batteries is outside of the system boundary</t>
  </si>
  <si>
    <t>- "Moreover, the emissions from battery and vehicle manufacture, road and vehicle maintenance, and EoL battery and vehicle treatment are also excluded."
- "The emissions of other pollutants from the vehicle exhaust (e.g., NOx, NH3,SOx,PMs, etc.) are excluded because their contribution to climate change is negligible or inexistent."</t>
  </si>
  <si>
    <t>"well-to-wheel GHG emissions for the energy chain used by vehicles"</t>
  </si>
  <si>
    <t>2010 to 2050 ("retrospective period from 2010 to 2020 and a look-ahead period from 2021 to 2050.")</t>
  </si>
  <si>
    <t>16 IMAGE world regions</t>
  </si>
  <si>
    <t>5 world regions (China, USA, Europe, India and Rest)</t>
  </si>
  <si>
    <t>transport</t>
  </si>
  <si>
    <t>cradle-to-grave</t>
  </si>
  <si>
    <t>5-yearly</t>
  </si>
  <si>
    <t>scenarios for 2020 to 2050; 2004 start year of model</t>
  </si>
  <si>
    <t>China</t>
  </si>
  <si>
    <t>considered (differentiate life cycle stages and distribute them over time through the coupled model)</t>
  </si>
  <si>
    <t>"onsite construction processes are not included"</t>
  </si>
  <si>
    <t>only production of building materials and energy use during the lifetime; EoL and manufacturing of heating systems etc. not considered</t>
  </si>
  <si>
    <t>cradle-to-use</t>
  </si>
  <si>
    <t>Netherlands</t>
  </si>
  <si>
    <t>"(1) How close can the Netherlands get to the carbon–neutral residential building stock by 2050 under the national control scenario?
(2) Which are the drivers for GHG emission reductions in the building stock?"</t>
  </si>
  <si>
    <t>"large scale"</t>
  </si>
  <si>
    <t>"including the emissions associated with fuel and energy production, vehicle manufacturing, and vehicle operational use"</t>
  </si>
  <si>
    <t>only explicitly defined in the results section (3.5): "This study aims to assess the impacts of regulatory standards on fleet-scale GHG emissions based on a pre-defined technology market share and NEV fuel consumption improvement rates derived from the government roadmap."</t>
  </si>
  <si>
    <t>"prospective life-cycle GHG emissions"</t>
  </si>
  <si>
    <t>only the "Energy mix" changes; unclear what this means exactly</t>
  </si>
  <si>
    <t>ecoinvent v3</t>
  </si>
  <si>
    <t>3 scenarios based on the "Horizon 2020 project REFLEX (Herbst et al., 2016a, 2016b; Poganietz et al., 2017)"
- "Mod-RES": "currently existing climate and energy policy targets and actions are realized with no new policy measures introduced", "follows the European Commission's PRIMES Reference Scenario (Capros et al., 2016)"; 68% GHGE reduction for the electricity sector from 1990 to 2050; CO2 price in 2050 at 90 EUR per tCO2eq
- "High-RES Central": "characterized by large-scale onshore and offshore wind power plants at prime locations and an intra-European electricity trade"; additional measures to achieve 80% GHGE reduction for the electricity sector from 1990 to 2050; CO2 price in 2050 at 153 EUR per tCO2eq
- "High-RES Decentral": "characterized by electricity generation near load centers, thus minimizing transmission investments"; additional measures to achieve 80% GHGE reduction for the electricity sector from 1990 to 2050; CO2 price in 2050 at 153 EUR per tCO2eq</t>
  </si>
  <si>
    <t>"LCA includes the upstream and auxiliary processes, such as raw material production, fuel production and generation plant construction. Additionally, a global market for the upstream non-electricity sectors and a European market for the use and downstream disposal processes are assumed."</t>
  </si>
  <si>
    <t>EU28 + Switzerland + Norway</t>
  </si>
  <si>
    <t>continental</t>
  </si>
  <si>
    <t>energy system</t>
  </si>
  <si>
    <t>"prospective (dynamic) LCA model"</t>
  </si>
  <si>
    <t>2025 to 2045</t>
  </si>
  <si>
    <t>Germany ("Although the national scope of the analysis, consequences caused by changes in the European electricity system are considered since ‘ISAaR’ models the German electricity sector in the context of the European electricity market.")</t>
  </si>
  <si>
    <t>"hourly national electricity generation in kilowatt-hours per year in Germany from the installed generation capacities for the time steps 2025–2045"</t>
  </si>
  <si>
    <t>"on different levels – the ‘technology,’ ‘user,’ and ‘system level’"; "Effects on the system level result from large-scale adoption of the investigated product or services."; "economy-wide"; "sector"</t>
  </si>
  <si>
    <t>5 different scenarios, consisting of the different process route market shares and the same BG development (SSP2-2.6): one case with 100% market share of each process route and one case called "Future mix" with "38% blue and 62% green hydrogen, the latter split equally between solar PV and wind as the electricity source", all of which stay constant over time</t>
  </si>
  <si>
    <t>2019, 2035 and 2050 (mention 2020, but show 2019 in the figures)</t>
  </si>
  <si>
    <t>"large-scale"; "spatial scope"</t>
  </si>
  <si>
    <t>100% renewable electricity-powered water electrolysis (replacing all NG SMR CCS), separately for 100% solar PV, 100% onshore wind and 100% hydropower (results only shown for GHG emissions, see SI section 4.3)</t>
  </si>
  <si>
    <t>2020, 2030, 2050</t>
  </si>
  <si>
    <t>15 world regions (IEA)</t>
  </si>
  <si>
    <t xml:space="preserve">"a first functional unit is defined as one kg of gaseous H2 output delivered at the user at a purity greater than 99.8% and 25–30 bar pressure. We further calculate impacts for a second functional unit, defined as total global production, according to scenarios further elaborated below."
</t>
  </si>
  <si>
    <t>"Existing studies mainly focus on a limited number of H2 production technologies in a single region, hindering a complete understanding of future environmental impacts across time and regions of different types ofH2 technologies, precisely when and where H2 technology improvements and electricity decarbonization will likely occur. This paper aims to fill this knowledge gap by conducting an LCA of key H2 production options and evaluating LCA results considering future H2 technology improvements and developments in energy and other sectors."</t>
  </si>
  <si>
    <t>"global scale"; "large scale"; "sector"</t>
  </si>
  <si>
    <t>ecoinvent v2.2</t>
  </si>
  <si>
    <t>3 scenario variants of the "nuclear phase-out scenario for Switzerland described in (Weidmann, 2013)", "which reflect different policies concerning (a) the targets for the reduction of GHG emissions and (b) the availability of the low-carbon technology CCS"
- "Ref": no climate policy ("i.e. the current CO2 law is ignored") &amp; power generation technologies with CCS not available
- "Clim": CO2 reduction 20% by 2020 and 40% by 2035 &amp; power generation technologies with CCS not available
- "Clim+CCS": CO2 reduction 20% by 2020 and 40% by 2035 &amp; power generation technologies with CCS available from 2030 on</t>
  </si>
  <si>
    <t>not made explicit, but we interpret the sentence "The complete energy chains are considered." in this way</t>
  </si>
  <si>
    <t>"The objective of the present work is to support Swiss energy policymaking by providing a detailed sustainability analysis of possible energy system transformation pathways."</t>
  </si>
  <si>
    <t>"fullscale energy system model"</t>
  </si>
  <si>
    <t>3 scenarios based on the "World Energy Council (WEC)’s publication ‘‘Grand Transition’’ (WEC, 2016)":
- "Modern JAZZ": " annual GDP growth rate of 3.3% and focusses on open economies and affordable energy for all through economic growth. There is support for solar and wind energy, but neither for hydro and nuclear power nor for Carbon Capture and Storage (CCS) technologies. Energy efficiency increases based on market mechanisms. The scenario also assumes increased access to unconventional oil and gas resources."
- "Unfinished SYMPHONY": "focus is on climate change mitigation under the assumption of a global unified action. Not only renewable energies are promoted but also CCS technologies and nuclear power. The annual GDP growth rate reaches 2.9%. The exploitation of unconventional oil and gas resources is regulated while energy efficiency is supported by the governments."
- "HARD ROCK": "focus is on energy security with low global cooperation. Energy efficiency developments continue according to their historical trends. The scenario is characterised by a GDP growth rate of 1.9% p.a., fragmented economies and policies promotingdomestic energy resources and best-fit local solutions. The exploitation of unconventional oil and gas resources, CCS technologies and low-carbon power generation are driven by the assumed energy security policies."</t>
  </si>
  <si>
    <t>15 world regions</t>
  </si>
  <si>
    <t>"full-scale energy system model"</t>
  </si>
  <si>
    <t>consequential</t>
  </si>
  <si>
    <t>ecoinvent v3.5</t>
  </si>
  <si>
    <t>"Multi-functional processes lead to this issue and are used as an example. In the attributional approach, their different exchanges and environmental flows are allocated between the co-products according to certain physical or economic distribution keys. Thus, one process exists for each coproduct of the multi-functional entity. Conversely, in the consequential database, there is only one version of the multi-functional process supplying what is designated as the determining product. The dependent products are considered as constrained and are not represented as a single entity, but as substitution exchanges in the determining product dataset. For example, as represented in figure S3, for combined-heat-power (CHP) processes in the attributional approach, one CHP unit is represented by two processes, one supplying heat and the other electricity. Therefore, if the attributional LCI uses as an input a non-determining product from a CHP technology, this leads to an unlinked exchange when converted to the consequential database. The solution is to identify the marginal supplier for the electricity and use it instead as an input."</t>
  </si>
  <si>
    <t>10-yearly</t>
  </si>
  <si>
    <t>2010 to 2050</t>
  </si>
  <si>
    <t>"To overcome these limitations, we develop a framework to integrate environmental indicators based on the LCA method into an ESM."</t>
  </si>
  <si>
    <t>"large-scale"</t>
  </si>
  <si>
    <t xml:space="preserve"> "future-oriented perspective", "introduce prospective information into the LCA models"; "prospective new datasets"; "prospective versions ofthe database"; "forward-looking scope"</t>
  </si>
  <si>
    <t>ore grade (decline and constant), energy efficiency (improved, constant)</t>
  </si>
  <si>
    <t>"The methodology presented in this paper aims, as mentioned, at upscaling and forward looking micro-level LCA information, while maintaining the life cycle perspective."</t>
  </si>
  <si>
    <t>"total environmental impact"</t>
  </si>
  <si>
    <t>Greet 2020</t>
  </si>
  <si>
    <t>- include primary and secondary material production for batteries (cradle-to-grave, but only the batteries (not the rest of the cars)), EoL for the batteries and the fuel consumption implications from their weight during the use phase ("we adopt a novel system boundary that accounts for the additional energy use and resultant charging emissions (using the AEO reference case for grid GHG intensity) from the added battery weight, relative to a hypothetical scenario of a zero-weight battery")
- whether battery manufacturing is considered beyond just the energy use (see SI section 1.5.6)</t>
  </si>
  <si>
    <t>US</t>
  </si>
  <si>
    <t>defined 2 times in close proximity: 
- "The current paper aims to address these gaps by combining a U.S. light-duty vehicle fleet LCA model (originally developed in Milovanoff et al. (2019)) with detailed battery production and recycling scenarios for a set of currently available battery technologies, as well as battery market share and electricity grid mix projection scenarios."
- "The study objective is to assess the metal demand and GHG emissions implications from different LIB production pathways under large scale BEV and PHEV deployment scenarios in the U.S."</t>
  </si>
  <si>
    <t>"large-scale"; "fleet"; "fleet level"</t>
  </si>
  <si>
    <t>"dynamic emission factor"</t>
  </si>
  <si>
    <t>Monte Carlo simulation on selected parameters</t>
  </si>
  <si>
    <t>only on EV lifetime in the ambitious scenario, exploring: 
- "An extended BEV use from 12 years to 24 years, assuming that the replacement of EV battery would happen when the first EV battery reaches its end of life and the replaced EV battery has a lifespan of 12 years" and 
- "An extended BEV lifespan from 12 years to 18.4 years, representing an optimistic assumption that future EV battery technology would improve to the point of enabling BEVs to meet the historical average lifespan of the ICEVs in the high ambition group."</t>
  </si>
  <si>
    <t>production and use-phase only</t>
  </si>
  <si>
    <t>"The aim of this study is to quantify the demand for EVs and the GHG emissions from driving and producing passenger vehicles until 2040, under the stated ambitions ofEU countries on the transition toward e-mobility."</t>
  </si>
  <si>
    <t>"fleet"</t>
  </si>
  <si>
    <t>"dynamic manufacturing GHG emission factors"</t>
  </si>
  <si>
    <t>recycling rates (% of EoL outflow) for each material</t>
  </si>
  <si>
    <t>"Our study specifically addresses GHG emission mitigation in the material production and end-of-life handling process. Hence, we do not account for the potential emission reductions during the material use phases or scrap trade transport."</t>
  </si>
  <si>
    <t>only primary (cradle-to-gate) and secondary material production</t>
  </si>
  <si>
    <t>31 provinces in mainland China</t>
  </si>
  <si>
    <t>SI, Figshare</t>
  </si>
  <si>
    <t>CC BY 4.0</t>
  </si>
  <si>
    <t>EoL</t>
  </si>
  <si>
    <t>2006 and 2030</t>
  </si>
  <si>
    <t>Sweden</t>
  </si>
  <si>
    <t>waste management</t>
  </si>
  <si>
    <t>"In our case, the overarching purpose is to provide information that enables decision-makers to reflect on decisions of waste policy design before implementation."</t>
  </si>
  <si>
    <t>"economy-wide"</t>
  </si>
  <si>
    <t>Söderman, Maria Ljunggren; Eriksson, Ola; Bjorklund, Anna; Ostblom, Goran; Ekvall, Tomas; Finnveden, Goran; Arushanyan, Yevgeniya; Sundqvist, Jan-Olov</t>
  </si>
  <si>
    <t>the authors define 4 sensitivity scenarios: "Four scenarios (S1eS4) for large-scale CCS deployment are investigated, two each pertaining to the ACTmap and BLUEmap scenarios. In the scenarios S1 and S3, the CO2 is captured using post-combustion Monoethanolamine based capture technology, and in the scenarios S2 and S4 a combination of post-combustion, pre-combustion and oxyfuel combustion capture technologies are used as given by IEA [1]."
- confusingly, the main scenarios already rely only on "Monoethanolamine based capture technology" and the results for S1 and S3 shown in table 4 are the same as in table 2 (just that the impact categories are shown in different order and the results in table 4 are rounded to whole numbers); we conclude that S1 and S3 are just the main scenarios and only S2 and S4 differ
- inventories for the other technologies come from previous work of the authors (Singh et al. 2011)</t>
  </si>
  <si>
    <t>ecoinvent v2.0; US I/O economic database</t>
  </si>
  <si>
    <t>3 scenarios for electricity demand from coal and natural gas "defined as given in IEA Energy Technology Perspectives"
- "Baseline": "CO2 emissions in 2050 are 130% above the level of 2005"
- "ACTmap": "CO2 emissions are brought back to 2005’s level by 2050 with measures of cost up to 50$/tCO2 applied globally"
- "BLUEmap": "halving of worldwide emissions by 2050 and requires measures with a cost ofup to 200$/ tCO2"</t>
  </si>
  <si>
    <t>2005 to 2050</t>
  </si>
  <si>
    <t>"large-scale"; "environmental performance of the sector"</t>
  </si>
  <si>
    <t xml:space="preserve"> "unit-based LCA"; "dynamic Life Cycle Assessment"; "’dynamic’ LCI analysis"; "scenario-based life cycle case study"; "temporally explicit life cycle model"</t>
  </si>
  <si>
    <t>ecoinvent v3.4</t>
  </si>
  <si>
    <t>2015 to 2020 used for calibration (number of washing machines, installed base of circular business models); 2015 to 2050 for the scenarios</t>
  </si>
  <si>
    <t>consumer goods</t>
  </si>
  <si>
    <t>"What are the environmental and material gains of the adoption of these circular business models in the Dutch market? What levels of penetration rates are necessary to achieve such benefits? How long will such adoption take? What is the role of the energy transition in the impacts of the Dutch washing machine market? And, how do these business models perform compared with alternative strategies?"</t>
  </si>
  <si>
    <t>"market-wide", "economy-wide", "market-size system"</t>
  </si>
  <si>
    <t>"climate change impact assessment"; "dynamic and prospective approach"; "dynamic time-vintage LCA model"</t>
  </si>
  <si>
    <t>Sigüenza, Carlos Pablo; Cucurachi, Stefano; Tukker, Arnold</t>
  </si>
  <si>
    <t>ecoinvent v3.9.1</t>
  </si>
  <si>
    <t>3 future scenarios: electricity generation according to premise, with R245fa and with R1233zd(E)/toluene</t>
  </si>
  <si>
    <t>"meaning boundaries of the system (Figure 1) encompass all life-cycle phases: (1) raw material extraction, (2) WF production, (3) use of WF to generate electricity in the ORC, (4) the construction of the ORC plant, and (5) the endof-life of the plant"</t>
  </si>
  <si>
    <t>20-yearly</t>
  </si>
  <si>
    <t>"The functional unit (FU) is the generation of 1 kWh of electricity using waste heat in the ORC. In the PB analysis, the FU is adjusted to ensure the fulfillment of global electricity demand, providing a measurable global metric that can be compared to a known limit"</t>
  </si>
  <si>
    <t>scale with activity level based on assumed operating time and capacity to reach maximum use of waste heat according to estimate from literature 
- show results for scenarios with 100% of each technology</t>
  </si>
  <si>
    <t>infrastructure processes ("such as material and energy demand for charging spots, as well as road maintenance") exluded, except for production phase (if available in ecoinvent)</t>
  </si>
  <si>
    <t>"extraction of all materials, manufacturing steps, the fuel (electricity or gasoline) needed for the use phase, maintenance during use and all end-of-life processes"</t>
  </si>
  <si>
    <t>Germany</t>
  </si>
  <si>
    <t>"The LCA was set up as a modular LCA, with a functional unit of 1 kg of output product. The total functional unit is set to the impact of the entire automotive sector in Germany in the defined year."</t>
  </si>
  <si>
    <t>"the key question is how to holistically assess the long-term environmental impacts of CE strategies in complex, dynamic systems"</t>
  </si>
  <si>
    <t>"product groups and industry sectors"; "fleet"; "system level"; "sector"</t>
  </si>
  <si>
    <t>only for one specific scenario: "scenario aiming at climate neutrality, with a growing European air-traffic demand trajectory, in a 2 °C climate scenario"
parameters: fuel burn ("product of engine efficiency, seating capacity, and occupancy rate"), demand, origin of electricity (changed to nuclear only), radiative forcing factor for cirrus clouds, atmospheric benefits for syn-jet fuel, penetration of syn-jet fuel</t>
  </si>
  <si>
    <t>ecoinvent v3.7.1</t>
  </si>
  <si>
    <t>"The life-cycle steps considered include the aircraft manufacture and maintenance, the construction of the airport, the production and distribution of the fuel (i.e., conventional jet fuel and syn-jet fuel), the operation of the mitigation chain (DAC and CCS) as well as the aircraft operation itself (i.e., take-off, climb, cruise, descent, and landing)."; "Note that the End-of-Life processing of the aircraft is not considered."</t>
  </si>
  <si>
    <t>"considering all stages of the specific life cycles, i.e. production, use, and end-of-life"; "construction of the vehicle, on-board fuel storage (e.g. batteries, pressurized H2 and SNG tanks, etc.) as well as any other infrastructure such as ELYSE and METH plants"</t>
  </si>
  <si>
    <t>yearly for all results, but hourly for the use-phase emissions of EBMs</t>
  </si>
  <si>
    <t>"the primary research question of how and under what circumstances the selective use of low-carbon electricity and subsequent enhanced storability (flexibility) of H2 and SNG can offset this seasonal mismatch despite additional energy losses associated with H2-FCEV and SNG-V compared to more efficient but less flexible BEV or fossil fuels based ICEV powertrains"</t>
  </si>
  <si>
    <t>"nationally aggregated level"</t>
  </si>
  <si>
    <t>"Prospective life-cycle assessment"</t>
  </si>
  <si>
    <t>Rüdisüli, Martin; Bach, Christian; Bauer, Christian; Beloin-Saint-Pierre, Didier; Elber, Urs; Georges, Gil; Limpach, Robert; Pareschi, Giacomo; Kannan, Ramachandran; Teske, Sinan L.</t>
  </si>
  <si>
    <t>define 4 sensitivity scenarios, with each changing one parameter compared to the reference scenario
- "Large batteries demand": stock development changed to Sustainable Development Scenario (SDS) from Xu et al.
- "Slow industry": 24.7 GWh/year increase of European battery manufacturing and recycling capacity
- "Zero repurposing": re-use rate changed to 0% -&gt; "batteries are not reused in second-life applications"
- "High repurposing": re-use rate changed to 70%</t>
  </si>
  <si>
    <t>"the system boundaries of the LCA analysis (Fig. 2) include the manufacturing, operation, recycling, and disposal processes"</t>
  </si>
  <si>
    <t>2020 to 2050 for the LCA and optimisation, 2005 to 2050 for the MFA</t>
  </si>
  <si>
    <t>Europe (without further specifying which countries are included)</t>
  </si>
  <si>
    <t xml:space="preserve">Europe (without further specifying which countries are included)
</t>
  </si>
  <si>
    <t>- "The direct and indirect GHGs emissions resulting from batteries production and waste treatment in Europe and China are referred to as 1 kWh of battery capacity taken as a functional unit."
- "The avoided direct and indirect GHGs emissions resulting from the consumption of secondary raw materials recycled in Europe are referred to as 1 Mton of materials taken as a functional unit."
- "The direct and indirect GHGs emissions due to the consumption of electricity from the European energy mix affecting the electric vehicles’ use phase are referred to as 1 kWh taken as a functional unit."</t>
  </si>
  <si>
    <t>other PV orientations for f-BIPV</t>
  </si>
  <si>
    <t>ecoinvent v3.7</t>
  </si>
  <si>
    <t>only "production and operation", no EoL</t>
  </si>
  <si>
    <t>Italy</t>
  </si>
  <si>
    <t>2 functional units (system expansion): 
- r-BIPV systems: 1 kWh ("main competitors of PSK modules in the market of r-BIPV systems are c-Si modules, whose function is producing electricity; therefore, the functional unit is set to 1 kWh")
- f-BIPV systems: 1m2 ("since no other consolidated PV technologies fit for the fenestration of a building façade, we select a glass surface as a potential competitor of PSK modules in f-BIPV. However, as traditional constructive elements do not produce electricity, the functional unit of the system is set to 1 m2 and its electricity throughput is considered a by-product")</t>
  </si>
  <si>
    <t>- methodology section: "assess the potential economic and environmental savings that the introduction of PSK modules could provide in the future within the BIPV market"
- conclusions section: "aim is to evaluate the future effects of their diffusion in the BIPV market", "their" meaning perovskite PV systems</t>
  </si>
  <si>
    <t>caclulate the results additionally using ReCiPe (not explicitly mentioned as sensitivity analyis by the authors)</t>
  </si>
  <si>
    <t>APOS</t>
  </si>
  <si>
    <t>1 scenario under constraint for "operational greenhouse gas (GHG) emissions of all energy technologies" to reduce "by up to 85% in the year 2050"</t>
  </si>
  <si>
    <t>2016 to 2050</t>
  </si>
  <si>
    <t>defined in the previous work of the authors that this paper is build on (Baumgärtner et al., 2021), which was not reviewed as it does not contain any changes to unit processes over time: "The function of the considered energy system is to provide the services power, heat, and private transportation. To determine the environmental impacts along the low-carbon transition path, we use the functional units: power: 1 MWhpower, heat: 1 MWhheat, and private transportation: 1 vkm (vehicle kilometer), for the German energy system."</t>
  </si>
  <si>
    <t>"This paper’s central goals are to integrate dynamic LCA in national energy system optimization and to analyze the differences between employing static and dynamic LCA in energy system optimization and assessment."</t>
  </si>
  <si>
    <t>SI, Gitlab</t>
  </si>
  <si>
    <t>"In this paper, we follow van der Giesen et al., 2020 and Pehnt (2005) and define “dynamic LCA” as LCA employing a time-dependent background system."; "Dynamic LCA can be further extended by prospective LCA, which reflects technical advances in the LCIs, e.g., new technologies, and efficiency improvements."</t>
  </si>
  <si>
    <t>ecoinvent</t>
  </si>
  <si>
    <t>"(1) the manufacturing of those LDVs that are newly registered in each year of analysis; (2) the use phase of all LDVs on UK roads in the same year, including their maintenance and the supply chains of the required energy carriers, i.e., petrol and diesel for internal combustion engine vehicles (ICEVs) and electricity for EVs; (3) the decommissioning of those LDVs that reach their EoL in the same year of analysis."</t>
  </si>
  <si>
    <t>UK</t>
  </si>
  <si>
    <t>"The functional unit of the study was set as the operation of, and the net changes to, the whole LDV fleet in the UK over the course of one year."</t>
  </si>
  <si>
    <t>"Emissions related to capital goods, i.e. construction and eventual decommissioning of infrastructure, and other emissions related to the generation process were not included. By extension this means that renewable energy sources, i.e. wind, solar, geothermal, had no climate impact in our inventory."</t>
  </si>
  <si>
    <t>see figure 1: covering waste management (waste preparation, transport, incineration and bottom ash management; avoided landfill, district heating and electricity production)
- "The emissions assigned to energy technologies are related to extraction, provision (delivery to facility), and combustion of the different fuels."
- only processes affected by a change of the waste import are considered and those are only in the waste and energy sector (see figure 1)</t>
  </si>
  <si>
    <t>2014, 2025, 2030, 2035 ("baseline grounded in 2014 and prospective scenarios up to 2035, presented for milestone years 2025, 2030 and 2035")</t>
  </si>
  <si>
    <t>Denmark; avoided emissions also in Norway, Sweden, Finland and Germany</t>
  </si>
  <si>
    <t>"The functional unit for this assessment was the management of a total quantity of imported waste to Denmark in a given year"</t>
  </si>
  <si>
    <t>"prospective approach"; "consequential LCA approach, explorative scenario-based"</t>
  </si>
  <si>
    <t>operational energy use, renovation, landfill and recycling (see Fig. 1)</t>
  </si>
  <si>
    <t>7 processes shown in Fig. 1: raw mateiral extraction, energy supply for the manufacuring, material manufacturing, non-bio material manufacturing, construction, in-use materials, waste management</t>
  </si>
  <si>
    <t>2017 to 2117</t>
  </si>
  <si>
    <t>defined multiple times separately:
- "to evaluate the climate change mitigation effects of an increased use of HWPs in the Swedish dwelling stock under different future scenarios analysing the material consumption"
- "aim of this article was to study the effects that an increased use of HWPs would have in the climate impact mitigation of Sweden's building stock, and how these effects differ under different future scenarios."</t>
  </si>
  <si>
    <t>"broader level"; "sector"</t>
  </si>
  <si>
    <t>"dynamic factors for GHG emissions"; "dynamic LCA"</t>
  </si>
  <si>
    <t>ecoinvent; EXIOBASE</t>
  </si>
  <si>
    <t>2 scenarios in main part: with the results for the later 3 being shown in the SI only
- "Baseline (no climate policy)": "current energy policies (...) but no explicit climate policies, such as the nationally determined contributions"; THEMIS Baseline
- "Policy (2 °C-compatible)": globally "uniform carbon tax of 2005 US$25.5 per tCO2 in 2020, growing by 5% per annum, is imposed to limit warming to well below 2 °C throughout the twenty-first century"; THEMIS Blue Map
4 scenarios only in the SI: 
- "Policy (default accounting)": same as policy, but accounting "for direct CO2 emissions upstream CH4 emissions from coal and gas production and handling, and induced LULUC emissions (CO2 , CH4, N2O)"
- "Conv": same as policy, but "combined share of variable renewable electricity (VRE; wind, CSP and PV) is limited to 10%"
- "Ren": same as policy, but "Disallowing the use of CCS in the power sector and investments into nuclear power after 2010"
- "CCS": same as policy, but "Limiting both the use of VREs and nuclear power (as described above)"</t>
  </si>
  <si>
    <t>"We therefore compute specific (per-unit) emissions from construction and operation by combining EEU coefficients with IAM endogenous CO2 intensities" &amp; "Since end-of-life energy use is very small compared with that of construction, both figures were combined."</t>
  </si>
  <si>
    <t>2010, 2030, 2050</t>
  </si>
  <si>
    <t>11 REMIND world regions</t>
  </si>
  <si>
    <t>"upscaling"; "full-scale"</t>
  </si>
  <si>
    <t>fabrication scrap (already excluded by the linked dMFA model; "The mass balance of the present system is respected despite this exclusion while the demand flow represents all the aluminum physically embedded in the final consumption.")</t>
  </si>
  <si>
    <t>"GHG emissions are associated with the production of primary material (impftp ), the landfilling activities to dispose unused scrap (impscrap), the sorting (impsorting), and the recycling (imprecycling) of the different alloys"</t>
  </si>
  <si>
    <t>2015 to 2100</t>
  </si>
  <si>
    <t>"macro scale"; "sector"</t>
  </si>
  <si>
    <t>initial step of 5 years (20015 to 2010), then 10-yearly</t>
  </si>
  <si>
    <t>5 same regions as in the SSP framework (Asia, Latin America (LAM), Middle East and Africa (MAF), OECD and reforming economies of eastern Europe and the former Soviet Union (REF))</t>
  </si>
  <si>
    <t>"This study aims to align the prospective modelling of environmental impacts of primary aluminium production with the state-of-the-art scenario development paradigms in energy and climate change mitigation analysis, leveraging the different Shared Socioeconomic Pathway narratives (SSPs)"</t>
  </si>
  <si>
    <t>"aluminium industry as a whole"; "impacts of industry as a whole"; "industry-wide"; "sector"</t>
  </si>
  <si>
    <t>"prospective modelling of environmental impacts"</t>
  </si>
  <si>
    <t>define 15 sensitivity scenarios, which are constructed in the same way as the main scenarios</t>
  </si>
  <si>
    <t>"The model covers the use phase of residential and non-residential buildings (scope 1); their energy supply for the three services heating, cooling, and hot water (scope 2); and the material production, recycling, and manufacturing activities associated with buildings (scope 3)."; see also figure 1</t>
  </si>
  <si>
    <t>10 world regions according to the SSP framework ("China, India, OtherAsia, Sub-SaharanAfrica (SSA), Latin America (LAM), Middle East and Northern Africa (MENA), the reforming economies in Europe and Asia (REF), other OEDC, the United States and Canada, the EU, and the United Kingdom")</t>
  </si>
  <si>
    <t>"1. How large is the lock-in from the existing building stock and what construction and demolition flows follow for the calibrated building lifetimes under different demand scenarios?
2. What is the impact of the major CE strategies—narrow, slow, and close—and wood-intensive buildings on the consumption, recycling, and primary production of themajor building materials cement, steel, and wood?
3. What are the energy and greenhouse gas implications of the different transformation strategies under different energy system and material production decarbonization scenarios?
4. What stages in the energy service cascade of buildings contribute most to decoupling benefits from impacts, and how do scope 1 + 2GHGE compare to material-related scope 3GHGE for different regions and scenarios?
5. How large are the elasticities of the production of steel and cement as well as system-wide GHGE under a changing degree of implementation of themost relevant transformation strategies identified?"</t>
  </si>
  <si>
    <t>"macro-level"; sector; "System-wide"</t>
  </si>
  <si>
    <t>"time-explicit scenario analyses"</t>
  </si>
  <si>
    <t>"the stages after hydrogen production (e.g., hydrogen transport, storage, distribution and use) were not considered within the scope of the study"</t>
  </si>
  <si>
    <t>Spain</t>
  </si>
  <si>
    <t>"prospective studies"; "prospective techno-economic and environmental assessment"</t>
  </si>
  <si>
    <t>http://dx.doi.org/10.1016/j.apenergy.2019.114121</t>
  </si>
  <si>
    <t>"prospective study"</t>
  </si>
  <si>
    <t>http://dx.doi.org/10.1016/j.scitotenv.2021.145432</t>
  </si>
  <si>
    <t>ecoinvent v3.3</t>
  </si>
  <si>
    <t>see figure 1 in the SI</t>
  </si>
  <si>
    <t>"Specific impacts on the construction of energy technologies were reported per kW installed capacity, for the operation phase per kWh output. For vehicles, construction impacts were per car (passenger cars only) and operation impacts per passenger kilometer (pkm, for passenger transport) and per ton kilometer (tkm, for freight transport, respectively)."</t>
  </si>
  <si>
    <t>"On one hand, our research questions focus on the variety of these energy transformation pathways: 
• How can strategies to transform an energy system towards low CO2 emissions, as formulated in variety of different studies, be compared in terms of their environmental, economic and social impacts? How can these strategies be harmonized to allow for a fair comparison? On the other hand, our research addresses the challenge of integrating various sustainability dimensions, setting the scene for a more genuine sustainability assessment: 
• How do variations in technical solutions in these different CO2 reduction strategies influence environmental and (macro-)economic impacts? 
• How can stakeholder preferences be integrated into MCDA methods? What influence do stakeholder preferences have on the ranking of scenarios? How can robust results be achieved?"</t>
  </si>
  <si>
    <t>"large-scale"; "a complete energy system"; "scenario level, on a sector level and on a technology level"</t>
  </si>
  <si>
    <t>"transformation scenarios"</t>
  </si>
  <si>
    <t>"The functional unit of the analysis represents the annual useful energy demand including electricity, heat and transport mileage in Germany."\</t>
  </si>
  <si>
    <t>decadal for technology-level results, only 2020 and 2050 for the large-scale results</t>
  </si>
  <si>
    <t>26 world regions (IMAGE)</t>
  </si>
  <si>
    <t>"1 kg of a chemical (hydrogen, ammonia, or methanol) via a specific production technology"</t>
  </si>
  <si>
    <t>"aim of this study is to evaluate the environmental performance associated with crucial platform chemicals at various stages of technological advancement and decarbonisation of key sectors" (only defined in the SI, in the section describing the inventory analysis)</t>
  </si>
  <si>
    <t>2020, 2040, 2060</t>
  </si>
  <si>
    <t>"1 kg of clinker"</t>
  </si>
  <si>
    <t>"large-scale"; "process level"; "sectoral pathways"</t>
  </si>
  <si>
    <t>see figure 1</t>
  </si>
  <si>
    <t>4 technology market share scenarios: 
- constant: no change in market share in new sales
- full electrification: all new vehicle sales from 2035 on are BEVs, linear interpolation of market share between 2021 and 2035
- hybridization: all new vehicle sales from 2035 on are HEVs, linear interpolation of market share between 2021 and 2035
- partial electrification: all new vehicle sales from 2035 on are PHEVs, linear interpolation of market share between 2021 and 2035</t>
  </si>
  <si>
    <t>"material production and manufacturing, battery production and assembly, vehicle manufacturing and assembly, fuel production and use and vehicle disposal"</t>
  </si>
  <si>
    <t>"one vehicle and the total travelled distance over the vehicle lifetime is 280 thousand kilometers"</t>
  </si>
  <si>
    <t>"Our key objectives are to analyze: (1) whether the choice ofclimate change metric affects the analysis of climate change impacts associated with vehicle electrification; (2) whether GWP is a robust metric to evaluate climate change impacts of vehicle electrification; and finally (3) whether LDV electrification is beneficial from a climate change standpoint regardless ofthe climate change metric."</t>
  </si>
  <si>
    <t>22 variables (see SI, SI.6.5) divided into three categories ("The “lightweighting submodule” category contains the variables associated with the technical implementation of lightweighting. The “Projection Uncertainties” category" contains the variables related to the projection models. Finally, the “Vehicle Characteristics” category contains the variables associated with the vehicle models")</t>
  </si>
  <si>
    <t>ecoinvent v3.3; GREET 2017; UCSB model</t>
  </si>
  <si>
    <t>4 main scenarios: one without lightweighting and three with component specific substitution factors and material substitution factors of replaced and replacing materials ("Steel Intensive", "Aluminum Intensive" and "Aluminum Maximum", see table 1 for numerical values for the mateiral compositions)
- by default 15 year linear increase from 2016 to 2030
for each, 4 "external" factors evaluated as well: "For each simulation, all factors are kept at their default values except the factor under study." - basically also a sensitivity analysis
- fuel consumption improvements: 3 scenarios "to account for the parameter sensitivity (no improvement, default, and high fuel consumption improvements after 2016 in new vehicles)"
- alternative powertrain and fuel penetration: 2 scenarios ("no further penetration after 2016 to High EV Penetration (amounting to 151 million electric vehicles in 2050)")
- automotive material recovery: 2 scenarios (BAU with downcycling and “Closed Loop” without downcycling)
- oil prices: 3 scenarios (low, reference and high), incluending the fleet stock size, the light-truck shares, the prospective fuel consumption improvements and the technology market share of the vehicles</t>
  </si>
  <si>
    <t>"It is noted that other materials than steel, cast iron and aluminum are not accounted in the life cycle GHG emissions. They are not expected to vary in mass across the lightweighting scenario and represent less than 3% of the vehicle-life cycle GHG emissions3."</t>
  </si>
  <si>
    <t>"new vehicle production (materials production, manufacturing, and assembly phases), use-phase of driven vehicles (fuel production and use), and disposal of scrapped vehicles."</t>
  </si>
  <si>
    <t>"Terminology"; "fleet-level"; "fleet-scale"</t>
  </si>
  <si>
    <t>"dynamic inventories"</t>
  </si>
  <si>
    <t>"product stage and the use stage"; "On-site construction activities, transportation, and end-of-life stages (…) are beyond the scope of this paper."</t>
  </si>
  <si>
    <t>just mention filling the identified gaps in the literature as the goal of the study</t>
  </si>
  <si>
    <t>"large scales"; "sector"</t>
  </si>
  <si>
    <t>no climate change</t>
  </si>
  <si>
    <t>ecoinvent v2.2; EXIOBASE v1</t>
  </si>
  <si>
    <t>4 scenarios, combination of different carbon constraints and technology availability: 
- "Baseline": no emissions constraint &amp; full technology portfolio; THEMIS Baseline
- "Full technology portfolio": "Cumulative 2011−2050 power sector emissions limited to 240 GtCO2" &amp; full technology portfolio; THEMIS Blue Map
- "Conventional technology": "Cumulative 2011−2050 power sector emissions limited to 240 GtCO2" &amp; "Wind and solar power limited to 10%"; THEMIS Blue Map
- "New renewables": "Cumulative 2011−2050 power sector emissions limited to 240 GtCO2" &amp; "Nuclear phase-out, no CCS in the power sector"; THEMIS Blue Map</t>
  </si>
  <si>
    <t>2010, 2050</t>
  </si>
  <si>
    <t>"The (...) main goal of our study is to combine global IAM and LCA approaches, drawing on their specific strengths, to quantify a wide variety of environmental co-benefits and adverse side-effects of a portfolio of alternative power sector decarbonization pathways."</t>
  </si>
  <si>
    <t>"at the system level"; "system-level research"; "large-scale and structural systemic changes"</t>
  </si>
  <si>
    <t>"forward-looking life-cycle assessment"; "prospective LCA"; "ex-post LCA"; "forward-looking global analysis with wide system boundaries"; "prospective life-cycle assessments"</t>
  </si>
  <si>
    <t>ecoinvent v3.01</t>
  </si>
  <si>
    <t>24 countries: Austria, Belgium, Bulgaria, Switzerland, Czech Republic, Germany, Denmark, Spain, Finland, France, Great-Britain, Greece, Hungary, Ireland, Italy, Luxembourg, The Netherlands, Norway, Poland, Portugal, Romania, Sweden, Slovakia, Slovenia</t>
  </si>
  <si>
    <t>EU24 (Austria, Belgium, Bulgaria, Switzerland, Czech Republic, Germany, Denmark, Spain, Finland, France, Great-Britain, Greece, Hungary, Ireland, Italy, Luxembourg, The Netherlands, Norway, Poland, Portugal, Romania, Sweden, Slovakia, Slovenia)</t>
  </si>
  <si>
    <t>"to assess the influence of environmental impact indicators on prioritisation of ‘dispatchable’ technologies in the energy mix, and thus the environmental impact on climate change, and the infrastructure costs involved in that change of paradigm. The environmental impact of current technologies changes over time and therefore needs to be compared against the environmental impact of prospective technologies. This secondary objective was necessary to achieve the main one and represents an additional methodological contribution of the study."</t>
  </si>
  <si>
    <t>"prospective"; "current and prospective LCA methodologies"</t>
  </si>
  <si>
    <t>ecoinvent v3.7; Greet 2021</t>
  </si>
  <si>
    <t>use phase, second use, disposal (see figure 8);  2% mass share threshold for included battery materials; 2% threshold to countries considered materials production data (specific per stage considered (e.g. smelting))</t>
  </si>
  <si>
    <t>excluding use phase, disposal and second use, but including recycling (see figure 8)); for the emission factors of the battery materials, the system boundaries seem to slightly differ by material (e.g.: some include transportation, some do not; see "S9 Materials Impacts"</t>
  </si>
  <si>
    <t>all countries with more than 2% share in one of the considered production stages considered for graphite/carbon, copper, wrought aluminium, lithium, nickel, manganese, cobalt and phosphate; changes of the cradle-to-gate results for the batteries only differ due to the different grid mixes (apart from that, the inventories are the same)</t>
  </si>
  <si>
    <t>"The functional unit is 1 kWh of the battery pack for a passenger BEV."</t>
  </si>
  <si>
    <t>"scaled-up production"; "sector"</t>
  </si>
  <si>
    <t>"forward-looking analysis"</t>
  </si>
  <si>
    <t>see figure 3; and this section in the SI: "These targets do not correspond to a “net-zero” situation due to the cradle-to-gate system boundaries. Accounting for the endof-life emissions of the chemical, only a fully circular system based on DAC or biomass, or fossils with auxiliar CCS may support such a state."</t>
  </si>
  <si>
    <t>decadal</t>
  </si>
  <si>
    <t>2030 to 2050</t>
  </si>
  <si>
    <t>12 REMIND regions</t>
  </si>
  <si>
    <t>"The functional unit for this assessment, in line with the economy-wide scope enabled by PULPO, is the production of 100 Mt of methanol, which corresponds to the approximate global demand for methanol in 2023 (Chemanalyst, 2023)."</t>
  </si>
  <si>
    <t>"Using PULPO, we perform regionalized life cycle optimization using prospective background databases to find the best conditions and system configurations to produce methanol from CO2 and H2 considering environmental criteria."</t>
  </si>
  <si>
    <t>"economy-wide"; "large-scale deployment"; "large-scale deployment"; "large-scale decisions"</t>
  </si>
  <si>
    <t>ecoinvent v3.1</t>
  </si>
  <si>
    <t>"all stages from raw material extraction until dismantling have been considered"</t>
  </si>
  <si>
    <t>2005, 2010 and 2015 calibrated based on "real energy system in those years", scenarios for 2020, 2025, 2030 and 2035</t>
  </si>
  <si>
    <t>"functional unit chosen in all cases is 1 kWh of electricity produced"</t>
  </si>
  <si>
    <t>not explicitly defined as research question, but part of the introduction: "could end-use electrification turn into a counterproductive policy strategy for reducing emissions?"</t>
  </si>
  <si>
    <t>"economy-wide"; "sector"</t>
  </si>
  <si>
    <t>"dynamic life-cycle assessment"</t>
  </si>
  <si>
    <t>constant and increasing secondary material share (the latter being the default in the main results)</t>
  </si>
  <si>
    <t>2021 to 2050</t>
  </si>
  <si>
    <t>"construction" for inland shipping, airplanes, rail transport and light and heavy duty vehicles (see table 3)</t>
  </si>
  <si>
    <t>2000 to 2050</t>
  </si>
  <si>
    <t>"Gross new installations of power, heat and fuel generating technologies are given in units of MW/a (where the capacity is related to the output). New cars are reported in number of new vehicles. The functional unit for any kind of power, heat, fuel or gas generation is kWh (lower heating value). Passenger and freight transport is given in passenger kilometres and tonne kilometres, respectively."</t>
  </si>
  <si>
    <t>"indicator and sector level"; "technology level"; "technological, sub-sectoral and scenario levels"; "large scale systems"</t>
  </si>
  <si>
    <t>"prospective character"; "prospective elements"; "prospective LCIs"</t>
  </si>
  <si>
    <t>Greet 2021</t>
  </si>
  <si>
    <t>raw materials production, fuel production, vehicle production, battery production, fuel consumption, EoL</t>
  </si>
  <si>
    <t>US, China and the UK</t>
  </si>
  <si>
    <t>partially</t>
  </si>
  <si>
    <t xml:space="preserve">midpoint in the case example, but the method (i.e. ECOPT2) generally allows for endpoint as well ("allows practitioners to optimize over several impact categories using endpoint or single-score indicators"). </t>
  </si>
  <si>
    <t>"optimization period is from 2021 to 2050, with the 2000−2020 period representing user-provided data"</t>
  </si>
  <si>
    <t>fictional region(s)</t>
  </si>
  <si>
    <t>defined multiple times: 
- "aim to describe the model workings and provide an open-source software tool2 for evaluating technologies using LCA and to address the limitations of linearity, static analysis, and narrow scope commonly seen in product-level LCAs"
- "this work also aims to add to the growing portfolio of partially or fully open source integrated LCA and industrial ecology frameworks (Cardellini et al., 2018; Ciroth, 2007;Mutel, 2017; Pauliuk &amp; Heeren, 2020)withthe addition of an optimization approach."
- "The ECOPT2 adaptable model aims to fill gaps in commonly used product-level LCA approaches to increase the method’s relevance to inform and guide macro-scale, regionalized technology transition strategies while retaining a high level of technological detail and granularity."
- "ECOPT2 aims to model the direct and indirect environmental impacts associated with an internally consistent technology transition scenario"
- "With this work, we aim to provide a tool that facilitates integrated studies of complex systems by combining material dynamics, competition, LCA and IAMs."</t>
  </si>
  <si>
    <t>"The system boundaries are limited to activities associated with the provision of materials (A1-A3) being raw material extraction, transport and production of materials"</t>
  </si>
  <si>
    <t>Denmark</t>
  </si>
  <si>
    <t>"provision of materials for construction of all new buildings in Denmark in the period 2025-2050"</t>
  </si>
  <si>
    <t>"sector"; "material level"</t>
  </si>
  <si>
    <t>specified in the companion paper (Gibon et al. 2015): "life cycle perspective by calculating the material and energy inputs and outputs to production, operation and maintenance, and disposal"</t>
  </si>
  <si>
    <t>SI, University repository</t>
  </si>
  <si>
    <t>"wide-scale global deployment"; "large-scale implementation of climate-mitigation technologies"; "technology-specific results"; "economy-wide effects"; "widescale adoption of technologies"; "full-scale introduction of one or several technologies on the macro-level"; "scenario-based scale-up"</t>
  </si>
  <si>
    <t>"long-term"; "prospective nature of our inquiry"; "static LCAs"; "scenario-based hybrid LCA model"; "Prospective results"; "prospective, scenario-based LCA results"; "temporally explicit life cycle inventory"</t>
  </si>
  <si>
    <t>GSA using the uncertainty ranges (for "material intensity factors, future technological developments, and market shares assumed for emerging technologies") also used for the uncertainty analysis
- delta moment-independent method (DMIM): "Delta indices assigned to each parameter range from 0 to 1, where higher values indicate a stronger influence on the output distribution."</t>
  </si>
  <si>
    <t>GSA-OAT</t>
  </si>
  <si>
    <t>ecoinvent v3.10</t>
  </si>
  <si>
    <t>only specified for an example, not the entire scope (see figure 2): "Infrastructures unaffected by a change in the energy carrier are omitted (e.g., the car chassis, road, etc.)."</t>
  </si>
  <si>
    <t>only specified for an example, not the entire scope (see figure 2): "System boundaries include the production, supply and use of final energy, but also the infrastructure needed to use it (e.g., grid, battery, electric motor, etc.)."</t>
  </si>
  <si>
    <t>"We define the functional unit as the production, consumption, and supply of final energy in Switzerland to satisfy the system energy demand from 2020 to 2050."</t>
  </si>
  <si>
    <t>"at a regional scale"; "energy transitions at the scenario level"</t>
  </si>
  <si>
    <t>"the entire supply chain are captured"</t>
  </si>
  <si>
    <t>"The functional unit is defined as the production, supply, and consumption of final energy in Switzerland from 2020 to 2050, including the necessary infrastructure for energy supply and use."</t>
  </si>
  <si>
    <t>Github</t>
  </si>
  <si>
    <t>"LCA at the macroscale, including regions, nations, and markets"; "scenario-level life-cycle impacts"; "economy-wide"</t>
  </si>
  <si>
    <t>production of battery materials, battery manufacturing and battery recycling; impacts during use not considered</t>
  </si>
  <si>
    <t>EU27</t>
  </si>
  <si>
    <t>"production of lithium-ion batteries (LIBs) for EVs to meet the demand of European passenger vehicle market using material from primary and secondary sources from 2020 to 2050."</t>
  </si>
  <si>
    <t>"market view level"</t>
  </si>
  <si>
    <t>"aggregated global scale"; "global scale with regional resolution"; "European only scale"; "country only scale"</t>
  </si>
  <si>
    <t>"These detailed bottom-up life cycle inventories of electricity generation technologies tally up emissions and resource use caused by the manufacturing of power plants and associated infrastructure, the production of fuels, and the operation and dismantling of power plants."</t>
  </si>
  <si>
    <t>"large-scale deployment", "large scale"; "large-scale utilization"</t>
  </si>
  <si>
    <t>"forward-looking"; "prospective studies"</t>
  </si>
  <si>
    <t>2018, 2030, 2040, 2050</t>
  </si>
  <si>
    <t>2018 to 2050</t>
  </si>
  <si>
    <t>France</t>
  </si>
  <si>
    <t>"1 kWh of generated electricity"</t>
  </si>
  <si>
    <t xml:space="preserve"> "sector"; "fleet"</t>
  </si>
  <si>
    <t>"Ex ante describes a technology which is still in its R&amp;D phase (van der Giesen et al., 2020). Dynamic LCAs consider the dynamic nature of the technology and its surrounding system and can be applied for future as well as real-time LCAs (Ferrari et al., 2021; Pehnt, 2006). Prospective LCAs are defined more broadly. Arvidsson et al. (2018) defined an LCA as prospective “when the (emerging) technology studied is in an early phase of development (e.g. small-scale production), but the technology is modelled at a future, more-developed phase (e.g. large-scale production),” while Buyle et al. (2019) stated that “[...] a prospective LCA aims at exploring potential future life cycle environmental impacts, typically using scenarios.”"</t>
  </si>
  <si>
    <t>- change to only mass-based allocation
- increase of copper reuse by 60%</t>
  </si>
  <si>
    <t>not including the use phase</t>
  </si>
  <si>
    <t>"1 kg secondary copper produced from six types of waste streams in China"</t>
  </si>
  <si>
    <t>"The system boundaries of this study comprise all processes relevant for the provision of light-duty vehicle-based mobility. This includes the construcon and maintenance of roads and road infrastructure, the manufacture of vehicle components and their assembly, the provision of fuel, as well as the vehicle maintenance and disposal. In the case of the fleet perspecve, the same holds for all vehicles in the fleet."</t>
  </si>
  <si>
    <t>"covering all activities from fuel production until the end-of-life of the truck components"</t>
  </si>
  <si>
    <t>"5-year interval until 2050 and subsequently at a 10-year interval from 2050 to 2100"; "annual emissions for intermediate years were determined by linear interpolation"</t>
  </si>
  <si>
    <t>2020 to 2100</t>
  </si>
  <si>
    <t>"total demand for RFT activities expressed in kilometers traveled times ton transported per year (tkm/yr)"</t>
  </si>
  <si>
    <t>defined multiple times: 
- "aim to assess the environmental performance of three key alternatives for decarbonizing the RFT sector over the century: ICTs powered by biofuels (bioICTs), BETs and hydrogen FCTs, informing on their potential benefits or disadvantages."
- "aim is to provide a comprehensive understanding of the consequences of replacing dICTs with bioICTs, BETs or FCTs on the environment and on human health in the long term and in different regions"
- "The purpose of this contribution is to evaluate the impact of different alternatives for the RFT sector from cradle to grave, that is, considering impacts from activities dedicated to fuel (or energy source) production and distribution (i.e., cradle/well-to-tank), plus those incurred during the use phase in the vehicle (tank-to-wheel, i.e., combustion in the case of ICTs, electricity consumption in the case of BETs, and electrochemical reaction for FCTs)"</t>
  </si>
  <si>
    <t>"sector"; "scale results up to the functional unit"</t>
  </si>
  <si>
    <t>5 scenarios: 
- reference: "projection of transport activity, energy use and emissions" without additional policies
- FD1: increase of fuel prices ("road fuel duties on petro-fuels (petrol, diesel, compressed natural gas, liquefied petroleum gas) and biofuels (100% biodiesel, 85% bio-ethanol) for cars and motorcycles12 double between 2010 and 2020, with further but less steep increases of 1 pence/l per year from 2021 onwards. Further taking into account resource cost increases due to forecast crude oil price rises, average petrol and diesel prices are set to double between 2010 and 2050.")
- SPE1: changing the speed profile for road vehicles ("by 2014 the current 70 mph (113 kph) speed limit is effectively enforced for all road vehicles on both motorways and dual carriageways"); no demand effects
- EV1: changing preference and parameter curves based on assumed year when EVs "are on equal terms with their reference technologies (petrol or diesel ICV) in terms of consumer preference, performance (max. speed, acceleration, range) and market potential/choice"
- PP1: combination of all 3 policy scenarios</t>
  </si>
  <si>
    <t>"Emissions arising from maintenance of existing (road) infrastructure is not covered at present."</t>
  </si>
  <si>
    <t>use phase + "manufacture, maintenance and disposal of vehicles; the construction, maintenance, and disposal of infrastructure; and the supply of energy (fuels)"</t>
  </si>
  <si>
    <t>one sensitivity variant for each non-REF scenarios assuming that technology preferences do not change with increasing sales</t>
  </si>
  <si>
    <t>"life cycle emissions including upstream fuel emissions and emissions from vehicle manufacture, use, maintenance and scrappage"</t>
  </si>
  <si>
    <t>"aims to bring together a bespoke disaggregated model of the transport-energy-environment system with previous work on heterogeneity in the demand for PIV (Element Energy, 2013; ETI, 2013) and apply the model to explore different pathways of the timing and scale of uptake of PIV in the UK context."</t>
  </si>
  <si>
    <t>sensitivity variants of specific scenarios by changing 1 parameter:
- "CPT1a: variant with tighter limit of CO2 &gt; 175 g/km"
- "CPT2a:higher top rebate of GBP4000"
- "CPT2b: higher top rebate of GBP3000; GBP0.06/ kWh electric fuel duty"
- "CPT3a: GBP0.06/kWh electric fuel duty"
- "SCR2a: variant assuming lower expected car life"</t>
  </si>
  <si>
    <t>"sum of direct (tank-to-wheel, tailpipe, at source) and indirect (well-to-tank or upstream emissions from fuel supply, plus process emissions from vehicle manufacture, maintenance and scrappage) energy use and emissions"</t>
  </si>
  <si>
    <t>"to assess which types and levels of policy ambition of taxation on low carbon passenger vehicles accelerates fuel, technology and purchasing behavioral transitions the fastest with (i) most life cycle GHG emissions savings, (ii) potential revenue neutrality and (iii) no adverse effects on car use."</t>
  </si>
  <si>
    <t>"manufacture, maintenance and disposal of vehicles; the construction, maintenance, and disposal of infrastructure; and the supply of energy"</t>
  </si>
  <si>
    <t>Scotland</t>
  </si>
  <si>
    <t>"How do we go further (beyond low cost technologies and minimal behavioural change)? How do we go faster (increasing the pace ofchange and innovation, and more ambitious policy)? Are there synergies and trade-offs to be made (demand vs supply, climate change vs air quality)?"</t>
  </si>
  <si>
    <t xml:space="preserve">14 scenarios: reference + combinations of lifestyle change and bans of non-ultra-low emission vehicles (3 different definitions and 2 years of implementation)
- Reference: "Projection of transport demand, supply, energy use and emissions as if there were no changes to existing transport and energy policy. No ban. Consumers increasingly shy away from diesels post ‘Dieselgate’ (Brand, 2016). Existing UK plug-in vehicle grant (OLEV, 2018) for cars, vans, taxis and motorcycles (up to £3500 for cars, depending on how ‘plugged-in’ the vehicle is) to be ‘phased out’ gradually in the 2020s. Consumer awareness of EVs increases to ~50% by mid 2020s then levels out. Certainty of access to charging for fleet operations stays at 40%. Private access to overnight charging level at 70%. See Brand et al. (2019b) for detailed assumptions of the Reference case."
- LS change: "Radical change in travel patterns, mode choice and occupancy levels leading to relatively fast transformations and new demand trajectories.", based on Brand et al. 2019
- ICE ban 2030: no new ICE cars and vans from 2030 onwards; "Modestly improved market conditions for EVs (consumer awareness, charging infrastructure, increased range of makes and models) from mid-2020s onwards."
- ICE+HEV ban 2030: no new ICE or HEV cars and vans from 2030 onwards; "Much improved market conditions for EVs incl. ‘universal’ consumer awareness by 2025, increased and earlier certainty of access for fleet operations, higher battery capacities, charging rates and faster off-street charging from the mid-2020s onwards."
- ICE+HEV+PHEV ban 2030: same as ICE+HEV ban 2030 but with ban on PHEV
- ICE ban 2030 + LS change
- ICE+HEV ban 2030 + LS change
- ICE+HEV+PHEV ban 2030 + LS change
- ICE ban 2040: no new ICE or HEV cars and vans from 2040 onwards; "No change in Reference (REF) assumption for the plug in vehicle grant or other incentives."
- ICE+HEV ban 2040: no new ICE or HEV cars and vans from 2040 onwards; "Much improved market conditions for EVs incl. ‘universal’ consumer awareness by 2035, increased certainty of access for fleet operations (up to 80%), higher battery capacities, charging rates and faster off-street charging from the late 2020s onwards."
- ICE+HEV+PHEV ban 2040: same as ICE+HEV ban 2030 but with ban on PHEV
- ICE ban 2040 + LS change
- ICE+HEV ban 2040 + LS change
- ICE+HEV+PHEV ban 2040 + LS change
</t>
  </si>
  <si>
    <t>2012 to 2050</t>
  </si>
  <si>
    <t>"direct emissions as well as indirect emissions from power generation and fuel production, as well as vehicle manufacture, maintenance and disposal"</t>
  </si>
  <si>
    <t>"what is the contribution that energy demand reduction in transport can make to improve direct and lifecycle carbon emissions, local air pollution and public health impacts?"</t>
  </si>
  <si>
    <t>use of REMIND instead of IMAGE</t>
  </si>
  <si>
    <t>not clarified in the method section, but only mentioned for one process route in the results ("Methane pyrolysis has the potential to reduce CO2 emissions from ammonia significantly but will need to be developed further before it is viable [11]. This also means its life cycle inventory could change drastically when the technology has scaled up. The input data and results are considered less reliable than the more established technologies. Modelling decisions, such as the economic allocation of environmental burden to the solid carbon co-product, also affect the outcome. More research should be done into methane pyrolysis before conclusions are drawn about this technology."); unclear if economic allocation was applied to all process routes</t>
  </si>
  <si>
    <t>global; "large scale"; "sector"</t>
  </si>
  <si>
    <t>"Due to lack of data and because they are deemed negligible, the following elements are excluded from the analyzed system: harvesting (boats and fuel), cages/nets cleaning, boats manufacturing and materials, generators manufacturing and materials, infrastructures and transport of consumables to the farms, transport of the final product to the retailer and to the consumer, storing and cooking. Usage of drugs, medicine and vaccines are excluded too because of the non-systematic nature of their usage and the lack of knowledge about the impacts of these substances."</t>
  </si>
  <si>
    <t>"fingerling/smolt production, infrastructures, consumables (e.g. oxygen and cleaning products), feed, farming (including water and energy consumption and nutrient emissions or avoided production of fertilizer) and post-farming"</t>
  </si>
  <si>
    <t>2017 to 2040 for Singapore</t>
  </si>
  <si>
    <t>Norway</t>
  </si>
  <si>
    <t>food production</t>
  </si>
  <si>
    <t>"average production (over a year) of 1 ton of edible seafood in Singapore/Norway in the period, 2017–2040"</t>
  </si>
  <si>
    <t>"sector-wide"; "national level"; "large-scale, prospective LCAs"; "micro-scale LCA"</t>
  </si>
  <si>
    <t>"prospective angle"; "prospective and systemic assessment of environmental impacts"; "large-scale, prospective LCAs"; "time-differentiated"</t>
  </si>
  <si>
    <t>"LCA for insulation and upgrade in buildings has not been included"</t>
  </si>
  <si>
    <t>"full life cycle perspective by considering construction and end-of life stages"</t>
  </si>
  <si>
    <t>"The functional unit is not the production of a specific product or commodity, but instead, following a similar approach as [123], is defined as the satisfaction of all the energy and services demand (including residential, commercial, industry, mobility and agriculture) in EU28 by 2050."</t>
  </si>
  <si>
    <t>"dynamic component to LCA"</t>
  </si>
  <si>
    <t>SI, Self-developed platform</t>
  </si>
  <si>
    <t>"large scale electrification of the heat and transport sectors"; "large-scale"</t>
  </si>
  <si>
    <t>"prospective life cycle analysis framework"; "prospective life cycle inventory (LCI) data"</t>
  </si>
  <si>
    <t>not made explicit, but the LCIs in the SI show 4 phases: manufacturing, transport, use and EoL</t>
  </si>
  <si>
    <t>"First, light sources are compared based on the standard functional unit of 1 mega lumen-hour (Mlm-hr) of light. Second, the life cycle impacts of efficient light sources are computed per kilowatt-hour (kWh) of energy saved."
- further details on the second part of their analysis: "In addition to comparing light-source technologies on the functional unit of 1 Mlm-hr, the life cycle impacts of efficient light-source technologies are quantified based on their ability to save energy, otherwise known as a “negawatt” (Lovins 1976; Steinberger et al. 2009). In this case, the functional unit would be 1 kWh of energy saved. The LCI of a kWh saved by an efficient light source is the sum of the environmental and resource impacts of efficient light-source production and its end of life needed to save 1 kWh of electricity relative to an incandescent lamp."</t>
  </si>
  <si>
    <t>"scenario-based, integrated hybrid life cycle assessment"</t>
  </si>
  <si>
    <t>ecoinvent; IO model based on "input–output tables from Eurostat [5] and GTAP 6 [6], and air emissions data from World Resources Institute [7] and Eurostat [8]"</t>
  </si>
  <si>
    <t>"Our system of analysis comprises the wind turbines with foundations, internal electrical connections, and cabling and a high-voltage transformer for connection to the electricity grid. In addition, the analysis covers installation, operation and maintenance, and decommissioning."; but EoL only modelled for composite materials due to the assumption that "other materials contained in the system will be returned to the technosphere for recycling or remain in situ without causing further environmental burdens"</t>
  </si>
  <si>
    <t>2007 to 2050</t>
  </si>
  <si>
    <t>"economy-wide"; "large-scale"</t>
  </si>
  <si>
    <t>"conventional, unit-based LCAs"</t>
  </si>
  <si>
    <t>ecoinvent v2.0</t>
  </si>
  <si>
    <t>"collection and treatment of all (with a few exceptions) non-hazardous waste generated during one year in Sweden"</t>
  </si>
  <si>
    <t>"The aim of this paper is threefold:
• To present the comprehensive LCA-model SWEA (Swedish Waste management Environmental Assessment). The model is unique in including most waste streams in Sweden except mining waste and hazardous waste.
• To present potential environmental impacts, as calculated with SWEA, of the different scenarios of Swedish waste management systems for the year 2030. These results can be a basis for a discussion on which are the most important environmental impacts in the Swedish waste management system and the most important processes from an environmental perspective.
• To present quantitative results on potential environmental impacts of policy instruments which were suggested to contribute to a more sustainable waste management [26]."</t>
  </si>
  <si>
    <t>- Morris method GSA for 10 most important technological parameters
- "REMIND SSP1-PkBudg500, REMIND SSP5-PkBudg500, and IMAGE SSP2-RCP19 scenarios were additionally applied to the AMB scenario"
- carbon budget allocation principles</t>
  </si>
  <si>
    <t>"Both the operational emissions (energy consumption for heating, cooling, electricity and water use in the building) and the embodied emissions (production of materials, transport, construction, replacement, renovation, demolition and waste processing) are considered."</t>
  </si>
  <si>
    <t>2023 to 2050</t>
  </si>
  <si>
    <t>Austria</t>
  </si>
  <si>
    <t>"(1) What are the expected GHG emission reductions of the implemented climate policy targets on the Austrian building stock?
(2) Which mitigation strategies are required for the Austrian building stock to limit global warming to approximately 1.5−2.0 °C?"</t>
  </si>
  <si>
    <t>"small- or medium-scale prospective LCA studies"; "building stock"</t>
  </si>
  <si>
    <t>"construction, operation, refurbishment, and demolition", excluding maintenance, repair and use (not meaning use phase, but direct emissions during use "such as those related to refrigerants and the carbonation of cement-based materials"</t>
  </si>
  <si>
    <t>"(i) to present the steps needed to create an archetype-based bottom-up building stock model that is adequately detailed to perform prospective environmental assessments through combined LCA andMFA while considering Austria as an example; 
(ii) to demonstrate the features of the model by applying five future scenarios to the Austrian building stock that target different areas of action to reduce environmental impacts: energy efficiency, renewable energy production, bio-based material use, sufficiency measures, and increased recycling."</t>
  </si>
  <si>
    <t>recovering from tailings to providing materials to the market</t>
  </si>
  <si>
    <t>only 2 years considered</t>
  </si>
  <si>
    <t>EU</t>
  </si>
  <si>
    <t>"the treatment and management of sulfidic copper tailings arising in the EU in the year 2020/2050"</t>
  </si>
  <si>
    <t>BG Database</t>
  </si>
  <si>
    <t>Geographical resolution</t>
  </si>
  <si>
    <t>Spatial scale</t>
  </si>
  <si>
    <t>Research objective(s) / question(s)</t>
  </si>
  <si>
    <t>Notes</t>
  </si>
  <si>
    <t>Approach</t>
  </si>
  <si>
    <t>Temporal distribution</t>
  </si>
  <si>
    <t>Temporal evolution</t>
  </si>
  <si>
    <t>System scaling</t>
  </si>
  <si>
    <t>Journal</t>
  </si>
  <si>
    <t>Publication year</t>
  </si>
  <si>
    <t>Author(s)</t>
  </si>
  <si>
    <t>Title</t>
  </si>
  <si>
    <t>LCIA</t>
  </si>
  <si>
    <t>Scenarios</t>
  </si>
  <si>
    <t>General</t>
  </si>
  <si>
    <t>Interpretation</t>
  </si>
  <si>
    <t>Inventory</t>
  </si>
  <si>
    <t>Goal &amp; Scope</t>
  </si>
  <si>
    <t>Year</t>
  </si>
  <si>
    <t>Content</t>
  </si>
  <si>
    <t>Supplementary Information to</t>
  </si>
  <si>
    <r>
      <t>Aaron Paris</t>
    </r>
    <r>
      <rPr>
        <vertAlign val="superscript"/>
        <sz val="11"/>
        <color theme="1"/>
        <rFont val="Georgia"/>
        <family val="1"/>
      </rPr>
      <t>1*</t>
    </r>
    <r>
      <rPr>
        <sz val="11"/>
        <color theme="1"/>
        <rFont val="Georgia"/>
        <family val="1"/>
      </rPr>
      <t>, Jeroen Guinée</t>
    </r>
    <r>
      <rPr>
        <vertAlign val="superscript"/>
        <sz val="11"/>
        <color theme="1"/>
        <rFont val="Georgia"/>
        <family val="1"/>
      </rPr>
      <t>1</t>
    </r>
    <r>
      <rPr>
        <sz val="11"/>
        <color theme="1"/>
        <rFont val="Georgia"/>
        <family val="1"/>
      </rPr>
      <t xml:space="preserve"> and Nils Thonemann</t>
    </r>
    <r>
      <rPr>
        <vertAlign val="superscript"/>
        <sz val="11"/>
        <color theme="1"/>
        <rFont val="Georgia"/>
        <family val="1"/>
      </rPr>
      <t>1</t>
    </r>
  </si>
  <si>
    <t xml:space="preserve">* Corresponding author: a.paris@cml.leidenuniv.nl </t>
  </si>
  <si>
    <r>
      <rPr>
        <i/>
        <vertAlign val="superscript"/>
        <sz val="10"/>
        <color theme="1"/>
        <rFont val="Georgia"/>
        <family val="1"/>
      </rPr>
      <t>1</t>
    </r>
    <r>
      <rPr>
        <i/>
        <sz val="10"/>
        <color theme="1"/>
        <rFont val="Georgia"/>
        <family val="1"/>
      </rPr>
      <t xml:space="preserve"> Institute of Environmental Sciences (CML), Leiden University, Einsteinweg 2, Leiden 2333 CC, The Netherlands
</t>
    </r>
    <r>
      <rPr>
        <i/>
        <vertAlign val="superscript"/>
        <sz val="10"/>
        <color theme="1"/>
        <rFont val="Georgia"/>
        <family val="1"/>
      </rPr>
      <t>2</t>
    </r>
    <r>
      <rPr>
        <i/>
        <sz val="10"/>
        <color theme="1"/>
        <rFont val="Georgia"/>
        <family val="1"/>
      </rPr>
      <t xml:space="preserve"> Helmholtz-Institute Ulm - Electrochemical Energy Storage (HIU), Ulm (Germany)
</t>
    </r>
    <r>
      <rPr>
        <i/>
        <vertAlign val="superscript"/>
        <sz val="10"/>
        <color theme="1"/>
        <rFont val="Georgia"/>
        <family val="1"/>
      </rPr>
      <t>3</t>
    </r>
    <r>
      <rPr>
        <i/>
        <sz val="10"/>
        <color theme="1"/>
        <rFont val="Georgia"/>
        <family val="1"/>
      </rPr>
      <t xml:space="preserve"> CICS.NOVA - OAT, Universidade NOVA de Lisboa, Lisboa (Portugal)
</t>
    </r>
    <r>
      <rPr>
        <i/>
        <vertAlign val="superscript"/>
        <sz val="10"/>
        <color theme="1"/>
        <rFont val="Georgia"/>
        <family val="1"/>
      </rPr>
      <t>4</t>
    </r>
    <r>
      <rPr>
        <i/>
        <sz val="10"/>
        <color theme="1"/>
        <rFont val="Georgia"/>
        <family val="1"/>
      </rPr>
      <t xml:space="preserve"> Ecological Resource Technology, University of Bayreuth, Bayreuth (Germany)</t>
    </r>
  </si>
  <si>
    <t>identified through</t>
  </si>
  <si>
    <t>citation tracking</t>
  </si>
  <si>
    <t>WoS search</t>
  </si>
  <si>
    <t>benchmark study</t>
  </si>
  <si>
    <t>J-Stage</t>
  </si>
  <si>
    <t>Alaux, Nicolas; Schwark, Benedict; Hoermann, Marius; Saade, Marcella Ruschi Mendes; Passer, Alexander</t>
  </si>
  <si>
    <t>exclusion after full text screening</t>
  </si>
  <si>
    <t>exclusion after title &amp; abstract screening</t>
  </si>
  <si>
    <t>no environmental impact characterisation</t>
  </si>
  <si>
    <t>no case application</t>
  </si>
  <si>
    <t>no consideration of temporal evolution in FG and BG</t>
  </si>
  <si>
    <t>no process-based LCA</t>
  </si>
  <si>
    <t>Reasoning</t>
  </si>
  <si>
    <t>(7) Consideration of temporal evolution</t>
  </si>
  <si>
    <t>(5) Environmental impact assessment</t>
  </si>
  <si>
    <t>(3) Life cycle perspective</t>
  </si>
  <si>
    <t>(6) Macro-level scope</t>
  </si>
  <si>
    <t>(4) Process-based modelling in FG and BG systems</t>
  </si>
  <si>
    <t>BG only IO-LCA data</t>
  </si>
  <si>
    <t>Criterion not fulfilled</t>
  </si>
  <si>
    <t>infrastructure project-level</t>
  </si>
  <si>
    <t>only consider CH4 leakage to calculate the life cycle emissions (no indication that life cycle of the infrastucture etc. is included)</t>
  </si>
  <si>
    <t>Variable</t>
  </si>
  <si>
    <t>Life cycle stages</t>
  </si>
  <si>
    <t>Cut-offs</t>
  </si>
  <si>
    <t>Temporal resolution</t>
  </si>
  <si>
    <t>Impact level</t>
  </si>
  <si>
    <t>Search results</t>
  </si>
  <si>
    <t>no assessment for at least one explicit future year</t>
  </si>
  <si>
    <t>no full case applications, but sensitivity analysis for case already covered in Alaux et al. (2024), which was included</t>
  </si>
  <si>
    <t>provincial-level</t>
  </si>
  <si>
    <t>macro-level results reported uncharacterised (see figure 4)</t>
  </si>
  <si>
    <t>The scenarios refer to 2020, but only as the hypothetical case for when measures are implemented: "The model is therefore of the comparative static type, i.e. it compares two status quo situations: the one in 2009 and the one in a future moment in timewhen the changes being evaluated are supposed to be operational (in our case we hypothesise this moment to be the year 2020)."</t>
  </si>
  <si>
    <t>"building stock is modelled in a static way and does not take into account stock dynamics over time."</t>
  </si>
  <si>
    <t>see table 3; "To overcome these shortcomings, life cycle assessment (LCA) based emission factors for the different waste management processes (transportation, recycling, landfilling and composting) have been developed locally by Friedrich and Trois (2013a and 2013b). Therefore, the methodology chosen for this paper was simplified life cycle quantification, based on the use of local GHG emission factors for these processes."</t>
  </si>
  <si>
    <t>"GWP from manufacturing one air conditioner (Gp~) was 88.4 kg CO2-eq./unit. While this value is not-necessarily representative of the GWP from manufacturing an air conditioner during all years, this value was used for all air conditioners in consideration of the fact that the GWP from manufacturing is small in comparison with the emissions over a product's entire life cycle.", "The seasonal cooling/heating electricity consumption of the entire air conditioner population in use was multiplied by the GWP intensity of the electricity consumed (0.45 kg-CO2equiv./kWh) [12] to calculate the total GWP of the entire air conditioner population in use."</t>
  </si>
  <si>
    <t>"In order to limit the level of uncertainties in this analysis, it was assumed that the fuel supply chains (i.e. gas background systems/upstream processes) would remain the same as today's route based on current available data."</t>
  </si>
  <si>
    <t>"The LCA matrix was structured and calculated using the CMLCA v5.2 software, relying upon ecoinvent v2.2 for background processes."</t>
  </si>
  <si>
    <t>see Appendix A in the supplementary</t>
  </si>
  <si>
    <t>see section "Net life-cycle GHG emissions for the system" and supplementary tables 13 to 15</t>
  </si>
  <si>
    <t>see supplementary</t>
  </si>
  <si>
    <t>see supplementary tables S1-S4 ("Detailed LCI including the background processes can be found in the supplementary materials (Tables S1-S4).")</t>
  </si>
  <si>
    <t>see tables A2 and A3 in the supplementary</t>
  </si>
  <si>
    <t>unclear if temporal evolution of BG considered, only information given is "Future environmental improvements have been considered for all the technologies within LCA, as in Kouloumpis et al. [18] and based on the data from NEEDS [19]."; [18] refers to a website that cannot be reached anymore ("Kouloumpis V, Stamford L, Azapagic A. Energy technology life cycle assessment (ETLCA) – software and databases, 2013 &lt;www. springsustainability.org&gt;.")</t>
  </si>
  <si>
    <t>unclear if temporal evolution of BG considered, only information given is "The background life cycle inventory data have been sourced mainly from NEEDS (2010) and Ecoinvent (2010), which are also based on European conditions."</t>
  </si>
  <si>
    <t>unclear if temporal evolution of BG and FG considered, only information given is "Technology learning is taken into account by partly modeling existing power plants and future installation of capacity infrastructure with different datasets. Detailed information
concerning these datasets can be retrieved from the original sources provided in Table 2."; table 2 does not give any indication of changing inventories</t>
  </si>
  <si>
    <t>unclear if temporal evolution of BG and FG considered</t>
  </si>
  <si>
    <t>unclear if temporal evolution of BG and FG considered, only information given is "Indirect environmental impacts of EU energy scenarios were assessed according to the inventory of matters and energy modeled with ecoinvent processes from variations in the electricity generation6 and the mass of each commodity produced in each region between 2005 and 2010."and "Direct environmental impacts were modeled according to the variation ofthe amount of electricity produced by each technology between 2005 and 2010 for a given scenario. A correspondence between technologies described in Mantzos et al. [39] and processes available in ecoinvent 2.0 was conducted."</t>
  </si>
  <si>
    <t>unclear if temporal evolution of BG and FG considered, only information is "The life cycle inventory data have been sourced from GEMIS 4.3 (Oko Institute, 2010) as well as the databases available within SimaPro."</t>
  </si>
  <si>
    <t>unclear if temporal evolution of FG considered</t>
  </si>
  <si>
    <t>unclear if temporal evolution of BG and FG considered, only information is "SIMAPRO has been run along with ECOINVENT SIMAPRO has been run along with ECOINVENT 3, which is a database of consistent 3, which is a database of consistent and transparent up-to-date L and transparent up-to-date Life Cycle Inventory (LCI) [38–40]."</t>
  </si>
  <si>
    <t>unclear if temporal evolution of BG and FG considered, only information is "The majority of thedatafor theupstreamand downstream processes (e.g. waste water treatment, waste disposal, production of MEA, ammonia and limestone) are taken from the ecoinvent 2.01 database (ecoinvent 2.01)." and table 3 and 4, both showing constant parameters</t>
  </si>
  <si>
    <t>unclear if temporal evolution of BG and FG considered, only information on the LCA part is "The GEMIS life cycle data base and the MITERRA-Europe model were used together with baseline biomass potential to quantify direct emissions and energy yield from different bioenergy pathways. An inventory of ILUC studies derived from Ref. [29] provided a basis for calculating emissions due to ILUC effects (using an ILUC value based on the median of the studies reviewed in Ref. [29])"</t>
  </si>
  <si>
    <t>unclear if temporal evolution of BG considered, only information given is "Life cycle assessments of conventional power plants as well as fuel processes and gas pipelines are taken from the Umberto LCA database (IFEU and IFU, 2006) and the ecoinvent database (Ecoinvent, 2006)."</t>
  </si>
  <si>
    <t>unclear if temporal evolution of BG considered, only information given is "The Ecoinvent [52] database was used for fuel provision and transport, infrastructure, and residue disposal."</t>
  </si>
  <si>
    <t>unclear if temporal evolution of BG and FG considered; very little information on the inventory (only one table 1 for the FG and "The data for rawmaterial, fossil fuel and electricity usage related to Al produced by electrolyze process in China mainly was obtained from the literatures and plant investigation.")</t>
  </si>
  <si>
    <t>unclear if temporal evolution of BG and FG considered; only mention the references for the applied sustainability indicators (their wording) without any further explanations; reference for the GHG emissions is a website that does not work anymore</t>
  </si>
  <si>
    <t>unclear if temporal evolution of BG and FG considered (see section 2.3.2)</t>
  </si>
  <si>
    <t>unclear if temporal evolution of BG and FG considered; no detailed information on the LCI data used, just mentioning ecoinvent; only changes to the composition of the grid mix shown (see tables 4 and 5) without describing any other changes to the LCI data (e.g. BG efficiencies)</t>
  </si>
  <si>
    <t>"Additional work that uses these process models to analyze larger, more representative systems that incorporate projections of potential future energy scenarios is also underway."</t>
  </si>
  <si>
    <t>no temporal evolution in BG (see section 2.3 and table 2)</t>
  </si>
  <si>
    <t>unclear if temporal evolution of BG and FG considered; do not disclose where the LCI/LCA data is from ("The life cycle assessment has been conducted by modelling input and output energy and mass streams with the SimaPro 8.0.1 software (Goedkoop et al., 2014).")</t>
  </si>
  <si>
    <t>see section 3.3.3. and Table S14 (no temporal evolution in FG or BG)</t>
  </si>
  <si>
    <t>see table 2 (no temporal evolution in FG or BG)</t>
  </si>
  <si>
    <t>no temporal evolution of the BG; feed results of the ESM back into ecoinvent, but do not use this modified ecoinvent in the ESM ("Another important issue is the process of updating the ecoinvent 3.2 databases according to the optimization. In the current version of the hybrid model, the LCA database is modified at the end of the optimization. The dynamic adoption of upstream effects due to a modified electricity system is not considered.")</t>
  </si>
  <si>
    <t>no indication of temporal evolution</t>
  </si>
  <si>
    <t>inventories of the electricity generation technologies are considered to be FG by the authors (and us); no temporal evolution in the BG (see supplementary: "This a simplification because, in reality, life cycle impacts will change in future as background processes alter (for example, the electricity used during component manufacture will increasingly be sourced from non-fossil technologies). However, accounting for this would necessitate assumptions about future electricity mixes not only in the UK but in all countries from which materials are sourced. Such global projections are beyond the remit of this work.")</t>
  </si>
  <si>
    <t>no temporal evolution in the BG ("we consider the electricity system to belong to the FG of the study")</t>
  </si>
  <si>
    <t>see table A1 (no temporal evolution in the BG)</t>
  </si>
  <si>
    <t>see suppementary (no temporal evolution in the BG)</t>
  </si>
  <si>
    <t>see table 1 (no temporal evolution in the BG)</t>
  </si>
  <si>
    <t>see table 2 and section 2.1.4 (no temporal evolution in the BG)</t>
  </si>
  <si>
    <t>no temporal evolution in the BG (See table A1 in the supplementary and section 2.2.2. in the main paper; "Yet, future research could indeed couple the model with scenarios for the Swiss energy system (SFOE, 2012; Prognos, 2012), building inventory and refurbishment patterns (Ostermeyer et al., 2017) and wood supply (Thees et al., 2013, 2017; Taverna et al., 2016).")</t>
  </si>
  <si>
    <t>see Appendix A (no temporal evolution in the BG)</t>
  </si>
  <si>
    <t>see Annex (no temporal evolution in the BG)</t>
  </si>
  <si>
    <t>see table 1 and method section (no temporal evolution in the BG)</t>
  </si>
  <si>
    <t>see table 5 (no temporal evolution in the BG)</t>
  </si>
  <si>
    <t>electricity scenarios only used for trajectory of electricity production by coal (FG) (no temporal evolution in the BG)</t>
  </si>
  <si>
    <t>see Excel appendix, sheet "Emission factors" (no temporal evolution in the BG)</t>
  </si>
  <si>
    <t>no temporal evolution in the FG</t>
  </si>
  <si>
    <t>see tables S-3 to S-5 in the supplementary (no temporal evolution in the BG)</t>
  </si>
  <si>
    <t>(2) Case study</t>
  </si>
  <si>
    <t>Horup, Lise; Bruhn, Simon; Hoxha, Endrit; Birgisdottir, Harpa; Secher, Andreas Qvist; Ohms, Pernille; Hauschild, Michael</t>
  </si>
  <si>
    <t>apply uncertainty ranges for impact of short-lived climate forcers from literature</t>
  </si>
  <si>
    <t>The authors show the results of a sensitivity analysis in the SI, but they never specify how it was done.</t>
  </si>
  <si>
    <t>only for the per m² results (see table S3), which we do not account for in accordance with out research focus on macro-level</t>
  </si>
  <si>
    <t>- "Selection of marginal production technologies": "different market suppliers for sourcing the primary products" (i.e. countries)
- "Substitution factor of construction materials": varied from 0.5 to 1.0 (same for all materials)
- "market penetration rates of secondary material" in 2050: 3 cases used for errors bars in manuscript figures (base case, best case and worst case); secondary material referring to the one coming from the tailings processing and substituting for the assumed 5 products</t>
  </si>
  <si>
    <t>- capacity factor
- lifetime</t>
  </si>
  <si>
    <t>"a sensitivity analysis is used to examine the magnitude of rebound that would cancel out the environmental benefits from efficient lighting"; more detail is not available because S1 is missing</t>
  </si>
  <si>
    <t>most carculator parameters varied OAT by 10% (see SI, section 6.3)</t>
  </si>
  <si>
    <t>- feedstock mix for biopower from 100% residues to 199% short rotation wood crops (see Fig. S3 in SI1)
- additionally at technology level the authors examine the influence of energy yield "on the ecosystem damage score of biopower technologies" (figure 2)</t>
  </si>
  <si>
    <t>- fuel efficiency, vehicle manufacture emissions, battery manufacture emissions; each with a "pessimistic scenario (fixed present-day values) and an optimistic scenario (all models follow whichever of the three models has the most optimistic projections)" for each country
- In Figure S2 the authors also show "Modeled annual fleet emissions for China under different car ownership scenarios", but this is not included in the sensitivity analysis section in the SI</t>
  </si>
  <si>
    <t>- "future average efficiencies of EVs/HPs"
in the SI, they show another sensitivity analysis, but not for the scenarios: 
- EVs: "Conditions under which the life-cycle GHG emission intensities from driving electric cars (EV) would currently be lower compared to new petrol cars being sold in the market, given different combinations of the electricity grid’s GHG emission intensity and (a) non-electricity emissions from battery production, (b) electricity required for battery production, (c) car lifetime (of electric cars incl. battery and petrol cars), and (d) battery lifetime."
- HPs: "Conditions under which the life-cycle GHG emission intensities from heating with electric heat pumps (HP) would currently be lower compared to new fossil boilers being sold in the market, given different combinations of the electricity grid’s GHG emission intensity and (a) GHG emissions from the leakage of refrigerant liquid (during production, use-phase and end-of-life), (b) lifetimes of heating systems."</t>
  </si>
  <si>
    <t>ionising radiation as optimisation goal</t>
  </si>
  <si>
    <t>investment costs for water electrolysis</t>
  </si>
  <si>
    <t>- electricity consumption from inert anode smelting compared to te incumbent Hall-Heroult process changed to extra 3 kWh/kg
-  future geographical market share (originally is constant shares from 2020)</t>
  </si>
  <si>
    <t>- optimisation based on mmineral resource scarcity instead of climate change
- 100% collection rate
- other SSPs than SSP2</t>
  </si>
  <si>
    <t>accounting approach for the policy scenario: only direct emissions or full accounting ("including biogenic CH4 emissions from hydropower and indirect emissions from EEU")</t>
  </si>
  <si>
    <t>- vehicle size: 100% light cars vs 100% light trucks)
- LFP market share: 0% LFP starting 2020 with removed market share assigned to NMC622 vs.100% LFP in 2050, linearly increasing from 60% 2030
- recycling recovery efficiency: low-end breakeven recycling rates vs. 100% recycling rate of recoverable metals from the considered recycling technique
- metal emission factor: lower vs. upper bounds
- electricity grid: electricity grid China (battery production in China) vs US fully renewable by 2050 (battery production in the US)</t>
  </si>
  <si>
    <t>5 separate analysis: 
- electricity requirement refining process: change from static assumption to regression based on literature data
- primary / secondary production market shares: "different set of assumptions for cobalt-containing product categories, lifetimes, and recycling rates" based on other literature data
- recycling allocation: change from 0% (cut-off model) to "100% allocation of the recycling impacts to cobalt production"
- primary / secondary production market shares and recycling allocation sensitivity analysis together
- allocation: change from revenue-based to mass-based</t>
  </si>
  <si>
    <t>2 parameters, both changed only for 2035: 
- "carbon capture rate for blue" (varied "by -25% (low) and +25% (high), i.e. from 52.8% to 88.1%")
- "electrolyzer efficiency for green hydrogen" ("varied from 59.4% (low) to 99% (high)")</t>
  </si>
  <si>
    <t>2 factors separately: "relative to the government’s targets under the IEA’s SDS grid mix scenario."
- NEV penetration varied by ±10%
- BEV fuel consumption varied by ±20%
- also include some sensitivity analysis-like elements in the scenario evaluation (e.g. calculating the results for the LCF scenario for 0.5, 1 and 1.5% annual reduction and the additional scenarios to evaluate the importance of the starting year), but do not refer to these as sensitivity analysis</t>
  </si>
  <si>
    <t>foresight length: varied between 5 and 30 years (see section 3.2 in the SI)</t>
  </si>
  <si>
    <t>- The land-related environmental impacts depend significantly on feedstocks. We used sensitivity cases on the bioenergy sources regarding irrigation of energy crops, use of woody or woody and grassy bioenergy feedstocks.
- "By default, storage is assumed to be deployed by default as lithium-ion batteries, while compressed-air and pumpedhydropower storage systems are considered as sensitivity cases."</t>
  </si>
  <si>
    <t>"incorporating dynamics"; "prospective LCA"; "dynamic approach"; "prospective technological transformation pathways"</t>
  </si>
  <si>
    <t>"life cycle sustainability analysis (LCSA)"</t>
  </si>
  <si>
    <t>"dynamic LCA"</t>
  </si>
  <si>
    <t>"prospective LCA"; "dynamic industry transitions"</t>
  </si>
  <si>
    <t>"prospective LCA"; "ex-post assessment"</t>
  </si>
  <si>
    <t>"dynamic life cycle assessment"; "prospective assessment"; "Prospective LCA"</t>
  </si>
  <si>
    <t>"prospective LCA"; "future-oriented analysis"</t>
  </si>
  <si>
    <t>"large-scale"; "system-wide"; "scale-up"; "sector"</t>
  </si>
  <si>
    <t>"building stock"</t>
  </si>
  <si>
    <t>"fleet-wide"; "large-scale"; "nation-wide fleets"; "on a large scale (i.e. national level)"; "macro-scale"</t>
  </si>
  <si>
    <t>"sector"; "vehicle fleets"</t>
  </si>
  <si>
    <t>"sector"</t>
  </si>
  <si>
    <t>"fleet"; "system-wide"; "sector"</t>
  </si>
  <si>
    <t>"“product-level” LCA"; "sector-wide or multisectoral transformation pathways"; "large-scale"; "sectors"; "large-scale transition analyses"; "macro-scale decision-making"; "macroscale"; "system-level"; "mass-scale"; "stock level"; "large-scale decision-making processes"; "LDV fleet"; "LDV stock"; "product level to a wider economy perspective"</t>
  </si>
  <si>
    <t>"Fleet-level LCA"; "country-level analysis"; "system’s level"; "sector"</t>
  </si>
  <si>
    <t>"upscaling"</t>
  </si>
  <si>
    <t>"fleet"; "system-wide"</t>
  </si>
  <si>
    <t>"global"; "large-scale"</t>
  </si>
  <si>
    <t>"Large-scale models"; "sector"</t>
  </si>
  <si>
    <t>"National-level analysis"; "large-scale"; scaling ("Based on these values and the results outlined in the previous sections, the economic and environmental effects of the large-scale deployment of PSK systems in BIPV are scaled.")</t>
  </si>
  <si>
    <t>"European"</t>
  </si>
  <si>
    <t>"fleet"; "large-scale"; "sector"</t>
  </si>
  <si>
    <t>"national"</t>
  </si>
  <si>
    <t>"fleet-wide"; "fleet-scale";  "fleet-based life cycle model"; "sector"</t>
  </si>
  <si>
    <t>"at the material and national level"; "any scale (e.g. district, city, national)"; "sector"</t>
  </si>
  <si>
    <t>"upscale"</t>
  </si>
  <si>
    <t>Article open access?</t>
  </si>
  <si>
    <t>Code / model available?</t>
  </si>
  <si>
    <t>Input data shared?</t>
  </si>
  <si>
    <t>SI, Github</t>
  </si>
  <si>
    <t>SI, Github, Zenodo</t>
  </si>
  <si>
    <t>SI, Gitlab, Zenodo</t>
  </si>
  <si>
    <t>SI, Zenodo</t>
  </si>
  <si>
    <t>BSD 3-Clause License</t>
  </si>
  <si>
    <t>not assigned</t>
  </si>
  <si>
    <t>CC BY-NC-SA 3.0</t>
  </si>
  <si>
    <t>publisher specific</t>
  </si>
  <si>
    <t>CC BY 3.0</t>
  </si>
  <si>
    <t>CC BY-NC 4.0</t>
  </si>
  <si>
    <t>Appendix</t>
  </si>
  <si>
    <t>CC BY-NC-ND 4.0</t>
  </si>
  <si>
    <t>CC BY 4.0 in Zenodo; Github has no license assigned; SI publisher specific (article is not open access)</t>
  </si>
  <si>
    <t>CC BY-NC-ND 4.0 for SI; BSD 3-Clause License in Gitlab</t>
  </si>
  <si>
    <t>publisher specific for SI (article is not open access); no license mentioned on the self-developed online plattform</t>
  </si>
  <si>
    <t>publisher specific; unclear for NTNU repository</t>
  </si>
  <si>
    <t>CC BY-NC-ND 4.0 for SI; CC BY 4.0 in Zenodo</t>
  </si>
  <si>
    <t>CC BY 4.0 for SI; separate licenses for code (BSD 3-Clause) and data (different forms of CC) in Zenodo</t>
  </si>
  <si>
    <t>CC BY 4.0 for SI; CC BY-SA 4.0 in Zenodo</t>
  </si>
  <si>
    <t>CC BY 4.0 for SI; CC BY 4.0 in both Github and Zenodo; but for Zenodo CC BY-SA 4.0 is mentioned in the paper</t>
  </si>
  <si>
    <t>CC BY 4.0 for SI; CC BY 4.0 in Mendeley data</t>
  </si>
  <si>
    <t>publisher specific for SI (article is not open access); CC BY NC 3.0 in Mendeley data</t>
  </si>
  <si>
    <t>CC BY 4.0 for SI; BSD 3-Clause License in Github</t>
  </si>
  <si>
    <t>publisher specific for SI (article is not open access); GNU General Public License in Github (TIMES model)</t>
  </si>
  <si>
    <t>CC BY 3.0 for; no license assigned in Github</t>
  </si>
  <si>
    <t>CC BY 4.0 for SI; BSD 3.0 license in Github; no license assigned in Zenodo</t>
  </si>
  <si>
    <t>CC BY-NC 4.0 for SI; no licenses assigned in Github and Zenodo
Repositories (Github): not defined (at the time of reviewing)
Repository (Zenodo): not defined (at the time of reviewing)</t>
  </si>
  <si>
    <t>CC BY-NC-ND 4.0 for; two different licenses in Zenodo (PULPO repository: CC BY 4.0; Methanol case study repository: BSD 3-Clause Clear License); BSD 3-Clause Clear License in Github</t>
  </si>
  <si>
    <t>CC BY 4.0 in SI; CC BY 4.0 in Zenodo; two different licenses in Github (ODYM-RECC: MIT License; BuildME: no license assigned)</t>
  </si>
  <si>
    <t>publisher specific for SI (article not open access); no licenses assigned in Github and Zenodo</t>
  </si>
  <si>
    <t xml:space="preserve">CC BY-NC 4.0 for; Github repository has a specific software license agreement of Graz University of Technology </t>
  </si>
  <si>
    <t>grid infrastructure, dismantling of nuclear power plants</t>
  </si>
  <si>
    <t>not defined, apart from referring to Milovanoff et al. 2019 ("We perform fleet-level LCAs by running the FLAME (fleet LCA and material-flow estimation) model (Milovanoff et al 2019) between 2020 and 2050.)", implying the same as in that publication (quote from Milovanoff et al. 2019: "It is noted that other materials than steel, cast iron and aluminum are not accounted in the life cycle GHG emissions. They are not expected to vary in mass across the lightweighting scenario and represent less than 3% of the vehicle-life cycle GHG emissions3.")</t>
  </si>
  <si>
    <t>2014, 2025, 2030 and 2035 ("baseline grounded in 2014 and prospective scenarios up to 2035, presented for milestone years 2025, 2030 and 2035")</t>
  </si>
  <si>
    <t>2010 and 2050</t>
  </si>
  <si>
    <t>2020, 2030 and 2050</t>
  </si>
  <si>
    <t>2010 and 2060</t>
  </si>
  <si>
    <t>2014 and 2050</t>
  </si>
  <si>
    <t>2016 to 2060</t>
  </si>
  <si>
    <t>2018 to 2100</t>
  </si>
  <si>
    <t>2020 and 2050</t>
  </si>
  <si>
    <t>2005, 2010 to 2100 decennial (i.e. 2010, 2020, 2030, …)</t>
  </si>
  <si>
    <t>1978 to 2060; scenarios starting from 2019</t>
  </si>
  <si>
    <t>2017 to 2100 (scenarios); 2005 to 2017 (historical)</t>
  </si>
  <si>
    <t>2016 to 2050 (scenarios); 2080 to 2015 (historical)</t>
  </si>
  <si>
    <t>2025 to 2050 (scenarios); 2017 to 2021 for calculating the historical contributions (see field 'Target measures against')</t>
  </si>
  <si>
    <t>2021 to 2050 (scenarios); 2000 to 2020 (historical)</t>
  </si>
  <si>
    <t>2017 to 2030 (scenarios); 1980 to 2016 (historical)</t>
  </si>
  <si>
    <t>2021 to 2040 (scenarios); 2011 to 2020 (historical)</t>
  </si>
  <si>
    <t>2021 to 2035 (scenarios); 2016 to 2020 (historical)</t>
  </si>
  <si>
    <t>refer to 2020 to 2050 as scenario horizon ("The life cycle fleet GHG emissions are modeled from 2020 to 2050", "The models’ long-term horizon (2020–2050)"), but say that 2022 is the start of the projections ("the models use actual historical fleet data up to the year 2022 as the starting point for projections"); results figures also change between 2022 and 2020 (see figures 4 and 5 for example)
historical time horizon differs for the countries (see table S1): to 2022 starting from 1995 for the US, 2012 for China and 2001 for the UK</t>
  </si>
  <si>
    <t>"500 Mt/yr hydrogen at 25 bar"</t>
  </si>
  <si>
    <t>"1 kg of cobalt metal"</t>
  </si>
  <si>
    <t>"1 kg of refined copper"</t>
  </si>
  <si>
    <t>"1 kg of refined metal"</t>
  </si>
  <si>
    <t>addressing the gap in the literature ("Since copper is an important resource for many renewable energy technologies and since the production is expected to increase substantially over the next decades, this is an important gap in current literature, which we intend to address in this paper.")</t>
  </si>
  <si>
    <t>EU27 + UK ("The scenario specific decarbonization strategies for the LDV fleet are applied globally, but the implications are only discussed for Europe. The low level ofdetail available on the LDV fleets in some world regions proscribe a global scope of the study.")</t>
  </si>
  <si>
    <t>EU28 + Norway, Switzerland and Iceland</t>
  </si>
  <si>
    <t>define it 2 times separately: 
- "This study aims to apply country-specific fleet LCA models with scenario-based projections, offering detailed insights into the diverse priorities and bottlenecks of light-duty vehicle fleet decarbonization in different countries, highlighting the need for tailored policy interventions in each context. This study also aims to determine whether some EV and decarbonization policies are generalizable across countries."
- "identify and compare key factors that influence the success of electrification efforts and supports in-depth cross-country comparisons."</t>
  </si>
  <si>
    <t>defined 2 times: 
- "we aim to determine the impacts of selected hydrogen technologies using different background inventories and their effect on climate mitigation costs, focusing on the extent of burden-shifting or co-benefits for switching from grey to blue to green hydrogen."
- "The goal of this study is to assess and contextualize the environmental impacts of large-scale hydrogen production at different stages of technological development."</t>
  </si>
  <si>
    <t>defined separately for the entire paper and the case study: 
- paper: "Our study aims at demonstrating an approach on how LCA indicators can be quantified for the integration in partial equilibrium energy system models without double-counting of the impacts related to the energy system and how such analyses can be used to estimate environmental and human health impacts of energy system scenarios."
- case study: "aims at the comparison ofthe environmental and human health impacts of three energy system scenarios described in the World Energy Council (WEC)’s publication ‘‘Grand Transition’’ (WEC, 2016)."</t>
  </si>
  <si>
    <t>- introduction: "we aim to gain insight into the potential future environmental impacts of cobalt production."
- discussion: "aim of this study was to determine how the environmental impacts of cobalt production could change up to 2050 and to provide a method for integrating the results into other prospective LCA studies."</t>
  </si>
  <si>
    <t>- "we aim to fill this research gap by quantifying the requirements for the main bulk materials for electricity infrastructures of global electricity sector pathways until 2050 under different socioeconomic framework conditions (‘shared socio-economic pathways’; SSPs) and climate mitigation regimes."
- "We thus aim to identify the main factors that will influence future requirements for bulk materials in the sector (e.g. climate mitigation regimes, infrastructure components, sub-technology choices, etc.)."</t>
  </si>
  <si>
    <t>- "The goal is to assess the life-cycle environmental impacts of Switzerland’s energy transition by accounting for the entire supply chain of energy use."
- additionally in the methods, the authors state: "By proposing a reproducible workflow applicable to various ESMs, IAMs and LCA databases, we aim to establish a standardized framework for future LCA applications in energy system modeling."</t>
  </si>
  <si>
    <t>- Methods: "This study aims to quantify the life-cycle environmental impacts and material demands of Switzerland’s Net Zero energy scenario."
- Discussion: "this study primarily aims to develop a structured approach to identifying potential material bottlenecks and environmental trade-offs in net-zero energy transitions at the scenario level"</t>
  </si>
  <si>
    <t>- "aims to explore the implications of the scale and speed of change via technical substitution and contrasts this with wider social and lifestyle change through the lens of ‘disruption’"
- "The main objectives are:  To represent and explore disruptive change in transport energy systems;  To explore scenarios of disruptive and more incremental change in decarbonising car and van based transport in the UK;  To assess how disruptive the scenarios may be for key stakeholders of the socio-technical system (who is affected, reach, significance)."</t>
  </si>
  <si>
    <t>defined multiple times: 
- "This paper aims to fill this critical knowledge gap by presenting a holistic prospective LCA of the evolution of the LDV fleet in the UK over the next three decades (i.e., 2020 to 2050), with special focus on the transition to electrical mobility, the evolving electricity grid mix and the pivotal roles of battery recycling and shared mobility."
- "The overarching goal of the study is to quantify the environmental impacts of the transport evolution of LDV fleet in the UK."
- "with the main goal of the study, which is to analyse the evolution of the environmental impacts of the UK light duty vehicle fleet, with special focus on the growing role of LIBs, their closedloop recycling and reuse, and the potential environmental benefits of shared mobility."</t>
  </si>
  <si>
    <t>- "quantifying the changes in GHG emissions that would result from lightweighting the U.S. light-duty fleet from 2016 to 2050"
- "Should lightweighting be implemented in the U.S. light-duty fleet? And if so, are there substantial GHG emission reduction benefits to accelerating the pace and intensity of lightweighting?"</t>
  </si>
  <si>
    <t>- "aims to quantify the environmental benefits, impacts, and tradeoffs of large-scale deployments of copper tailings reprocessing and mineral valorization technologies in the EU"
- "The goal of this study is (1) to evaluate the environmental benefits and tradeoffs between the secondary resources potential and energy/materials needed to perform the resource-recovery systems and (2) to estimate the large-scale impacts of copper tailings reprocessing in the EU."</t>
  </si>
  <si>
    <t xml:space="preserve">define it multiple times: 
- introduction: "aims to investigate the environmental mitigation potential of a circular battery production in the EU following the EU Battery Regulation."
- introduction: "the research intends to quantify the environmental impacts of establishing circular battery production within the EU by examining the emissions linked to battery production and recycling in combination with a comprehensive market understanding."
- "This approach enables addressing the following research questions: 1. How can system dynamics and LCA be suitably combined to answer circular battery production questions? 2. What is the estimated quantity of battery materials that the EU27 market will generate in the future, considering the ban on ICEVs in 2035? 3. What recycled material content can be incorporated in future batteries? 4. What is the environmental mitigation potential of circular battery production in the EU27 market? 5. What are the key drivers for recycled material shares and environmental impacts?"
- methods: "aims to analyze and compare the material flows and environmental impacts of circular battery production in the EU27 from 2020 to 2050."
</t>
  </si>
  <si>
    <t>"The goals of the study are twofold: First, comparing medium-sized cars with specific drivetrain technologies embedded in scenarios with different energy system backgrounds for 2020 and 2050. Second, comparing the impacts of the LDV fleet in each of these scenarios."</t>
  </si>
  <si>
    <t>- introduction: "However, further development is still required, for example in data harmonization between the two approaches and in consideration of promising and emerging technologies. Aiming at filling these gaps, this study presents the Environmental Assessment Framework for Energy System Analysis (EAFESA), in which some insights about model coupling between LCA and ESM are identified and highlighted."
goal and scope section: "analyzing and discussing the environmental implications of electricity generation in the EU28 þ 2 countries given dff f fl bl d l h different sets of flexibility options and climate change mitigation scenarios (i.e., Mod-RES, High-RES Centralized and Decentralized scenarios) for 2050"
- RQ defined in figure 2: What are the environmental impacts of the power systems with flexibility options in EU28+2?</t>
  </si>
  <si>
    <t>defined 3 times: 
- two times for the paper: 
-- introduction: "The aim of this paper was therefore to demonstrate that LCIs of background processes can be parameterized and combined to parameterized foreground LCIs to estimate the environmental impacts of future energy production and consumption trajectories. Complementary to hybrid approaches such as the one of Beltran et al. (2018), our aim here was to propose a method to model specific technical evolutions of the background system and evaluate their influence on possible future trajectories of a foreground system."
-- methods: "the aim of this paper was to show how foreground and background inventories can be combined and give first insights into how the environmental impacts of the heating sector in Francemight change"
- one time for the case study: "The aim of this case study was to show how the parameterized LCA models of background and foreground systems can be combined to estimate the environmental impacts of the French heating sector’s forecasted evolution from 2018 to 2050."</t>
  </si>
  <si>
    <t>- "main goal of this assessment is to quantity the environmental impacts of secondary copper production"
- "(1) How will the copper waste generation and secondary copper production develop in the coming decades, considering important developments such as China’s “Zero waste” strategies and the energy transition of electricity generation? 
(2) To what extent could primary copper demand be reduced through an optimized waste management system that follows China’s “Zero waste” strategies? 
(3) Which environmental benefits and trade-offs can be expected from such an optimized waste management system for the copper cycle as a whole?"</t>
  </si>
  <si>
    <t>"study aims to contribute to filling the gaps in knowledge"</t>
  </si>
  <si>
    <t xml:space="preserve">introduction: "This study aims to showcase how prospective absolute environmental sustainability assessments can be used for decisionmaking in the context of entire building stocks: RQ1: Continuing current consumption patterns, how far can technological development take the Danish building sector towards complying with absolute targets? RQ2: How can the Danish building sector close the gap between impacts and absolute targets?"
method: "The goal of the study was to estimate the environmental impact for 16 impact categories of new construction with the geographical scope being Denmark and the temporal scope being the time frame 2025–2050."
</t>
  </si>
  <si>
    <t>- "What are the prospective life-cycle impacts of V2G charging on GHG emissions when considering the repercussions within the future electricity system and its consequences on the operation of BEVs?"
- "1. How does a diffusion of V2G charging and, thus, the availability of BEVs as flexible storage options impact the electricity system and associated life-cycle GHG emissions of electricity generation?
2. How do systemic consequences on electricity generation impact the operational life-cycle GHG emissions of BEVs and the environmental break-even with ICEVs, depending on the charging strategy?"</t>
  </si>
  <si>
    <t>"(1) What is the global GHG emissions reduction potential of passenger car light-weighting by material substitution until 2050?
(2) What is the impact of steel- and aluminum-intensive light-weighting of passenger cars on the steel and aluminum industries?
(3) How does the carbon footprint of the steel and aluminum industries change under different light-weighting scenarios and assumptions about material recycling?"</t>
  </si>
  <si>
    <t>- "The goal of this article is to assess the potential environmental and natural resource benefits, trade-offs, and risks from using efficient light sources as a means of mitigating global GHG emissions in both the near and long term."
- not explicitly defined as research question, but part of the introduction: "a scenario analysis can answer two important questions. First, given the expected efficiency improvements in light-source technologies, how much can the demand for lighting services grow while still meeting the energy-saving targets in the IEA scenarios? Second, how will the widespread adoption of efficient light sources affect global trends in the environmental impacts and resource consumption owing to lighting?"</t>
  </si>
  <si>
    <t>- "This research aimed to investigate the future of ammonia production and its impact on the climate."
- "How will the scale and technology mix of ammonia production for existing applications develop in the future? To what extent can the sector decarbonise when considering upstream supply chain emissions? And are there any environmental trade-offs to consider?"</t>
  </si>
  <si>
    <t>- "This work aims to provide insight on the comparative environmental impacts and resource use of electricity generation technologies." (SI)
- mention 2 questions in the beginning, not explicitly as research questions, but more as part of the introduction: "Would the material and construction requirements of such an infrastructure be large relative to current production capacities? Would the shift to low-carbon electricity systems increase or decrease other types of pollution?"</t>
  </si>
  <si>
    <t>- paper: "aim to develop a framework for prospective and systemic assessment of environmental impacts from aquaculture industries at national level based on the comparison of policy-based scenarios"
- Norway case study: "The case study aims at assessing the environmental impacts of these two approaches of the Norwegian government." (meaning "facilitating the sustainable development of new technologies that would solve these problems, and diversifying aquaculture production by introducing other species than salmon and trout")</t>
  </si>
  <si>
    <t>- introduction: "aims to fill some of the identified gaps by analysing how the future energy and climate change targets in Spain may impact the two other pillars of the nexus"
- goal and scope definition: "objective of the study is to evaluate the environmental impacts associated to two different electricity generation scenarios until 2030"</t>
  </si>
  <si>
    <t>- introduction: "the present study aims to revisit the potential role of grey and blue hydrogen by upgrading the original energy systems model (Navas-Anguita et al., 2020) through the consideration of SMR plants' retrofit with CCS."
- methods: "The goal of the study is to explore the prospective role ofSMR with CCS as an option for hydrogen production for road transport."</t>
  </si>
  <si>
    <t>- introduction: "this article aims to develop and apply a national energy systems model focused on hydrogen production in Spain to satisfy its demand for road transport under a number of hypothetical scenarios"
- methods: "goal of this study is to develop a national energy systems model that supports the identification of the technologies that could satisfy the hydrogen demand for road transport in Spain in the time frame 2020–2050."</t>
  </si>
  <si>
    <t>- introduction: "To overcome these limitations" - referring to the reviewed literature on coupling ESMs and LCA
- methods: "In this study, the aim is to compare the effect of different transformation depths (e.g., shares of renewables) and different technological options, of drivers and assumptions."
- "Specifically, the following research questions are addressed:
• How can LCI data be used to evaluate energy system transformation scenarios? Which adjustments need to be made to available LCI data in order to become consistent with the energy scenario, especially in the case of very ambitious scenarios with a central role of power-to-x (admixtures) and biofuels? (Section 2) 
• What co-benefits and adverse side effects arise in the transformation of the energy system compared to today? (Section 3.1.1) 
• Which indicators decrease or increase at, collectively, the scenario level, the sectoral level (e.g., power generation) and the end-use level when comparing life cycle based environmental impacts for two scenarios for Germany? (Sections 3.1.2 and 3.1.3) 
• How do life cycle assessments improve the perspective on environmental impacts compared to considering only the direct emissions caused by operation and use? (Section 3.2) 
• What influence does the global background electricity mix have on the scenarios assessed? (Section 3.3)"</t>
  </si>
  <si>
    <t>- "main objective of this study is the systematic comparison life cycle-based environmental impacts of ten structurally significantly different energy system transformation strategies for the energy (and transport) system with a high degree of sector coupling for Germany."
- "In addition to the overarching research question mentioned above, the study also addresses the following specific research questions: 
• Which environmental co-benefits and adverse side effects are associated with ambitious pathways for a climatefriendly transformation of the German energy system? Which technologies and which life cycle phases may cause adverse side effects?
• How do environmental impacts of different transformation strategies for Germany differ—and what are the causes for those difference at the sector or technology level?
• Is there a conflict of objectives between climate and environmental protection? Does very ambitious climate protection (95% reduction of direct CO2 emissions) result in higher environmental impacts than moderately ambitious scenarios (80% emission reduction)?
• Which sectors are the main drivers for future environmental impacts?"</t>
  </si>
  <si>
    <t>define the objective multiple times separately: 
- "aim to evaluate the potential environmental benefits of improving sorting efforts by combining operations research, prospective material flow analysis, and life cycle assessment."
- "aim to assess how increases of the sorting effort can lead to a reduction of environmental impacts."
- "we strive to quantify what potential environmental gains that could theoretically be achieved if we were to sort the post-consumer aluminum scraps into 3, 4, 5, or n different recycling streams."</t>
  </si>
  <si>
    <t>- "This study aims to quantify selected environmental impacts (specifically primary energy use and GHG emissions) of battery manufacture across the global value chain and their change over time to 2050 by considering country-specific electricity generation mixes around the different geographical locations throughout the battery supply chain.
- "This study aims to address the following research questions: (i) What are the energy use and GHG emissions associated with LIB manufacturing and different battery chemistries? (ii) In which geographical locations are these energy use and GHG emissions expected to occur? (iii) How are the energy use and GHG emissions expected to change toward 2050 by decarbonizing the electricity sector and considering various battery technology scenarios? (iv) What are the GHG emission reductions of battery manufacture using secondary materials via different recycling technologies?"</t>
  </si>
  <si>
    <t>- "The study has two main goals: 1. To assess the environmental impact across a range of categories for a future EU energy system that achieves 80 to 95% CO2 reduction by 2050 (vs. 1990) in EU; 2. To assess the environmental impact PtM has in the system and the potential consequence of not having the technology available. T"
- "Research questions in the LCA-ESM integration are: (1) what is the ratio between direct and indirect emissions for an energy system with low CO2 emissions; (2) what is the scenario with the lowest impact across categories; (3) are there specific technologies that drive the environmental impact for some impact categories or is the environmental burden evenly spread across a multitude of technologies? The research questions related to the PtM evaluation are: (1) what is the environmental impact of PtM considering the spatial and temporal differentiation of the electricity mix in future low carbon scenarios; (2) how does PtM environmental impact compare with natural gas; (3) what is the environmental impact of not having the technology available."</t>
  </si>
  <si>
    <t>Europe ("European air traffic is comprised of flights departing from the EU-27 as well as EFTA member states.")</t>
  </si>
  <si>
    <t>EU28 + Norway, UK and Iceland</t>
  </si>
  <si>
    <t>59 world regions (partially country level and partially countries aggregated to one region)</t>
  </si>
  <si>
    <t>59 world regions</t>
  </si>
  <si>
    <t>individual wind turbines</t>
  </si>
  <si>
    <t>EU27 + UK</t>
  </si>
  <si>
    <t>26 world regions</t>
  </si>
  <si>
    <t>9 world regions as given in the IEA scenarios: China, India, OECD Europe, OECD North America, OECD Pacific, Economies in transition, Latin America, Asia, and Africa and Middle-East</t>
  </si>
  <si>
    <t>not made explicit, but because the study is an expansion of Hertwich et al. 2015, we assumed that it is cradle-to-grave</t>
  </si>
  <si>
    <t>"GHG emissions data were collected for three life-cycle stages: (1) the resin-production stage, which includes all activities from cradle to polymer-production factory gate; (2) the conversion stage, which covers the manufacturing processes that turn polymers into final plastic products; and (3) the EoL stage, which refers to the treatment and disposal processes of plastic waste. The use stage was excluded."</t>
  </si>
  <si>
    <t>"collection, transportation, separation and treatment of the different waste fractions"</t>
  </si>
  <si>
    <t>not disclosed</t>
  </si>
  <si>
    <t>Solving multifunctionality</t>
  </si>
  <si>
    <t>not defined, but the companion paper using a similar method (Hahn Menacho et al. 2025. The material-energy nexus in net-zero transition scenarios: exploring environmental trade-offs and uncertainties", also reviewed by us) states that "Regarding the co-production of metals in mining processes, we modify the database to allocate the amounts of metals extracted according to physical mass balances: extraction of individual elements in the ore is fully attributed to the production of the respective metal; while other elementary and intermediate flows such as electricity and diesel remain unchanged and follow an economic allocation (SI1, S9), which is also the default option to deal with multi-functionality in ecoinvent (Wernet et al., 2016)."</t>
  </si>
  <si>
    <t>not made explicit here, but in the paper with the methodological basis for THEMIS (Gibon et al. 2015), the following is mentioned: "The use of a preallocated database is a prerequisite for the following adjustments, which are only valid for a square matrix.", indicating that the authors relied on the solution of multifunctionality as implemented in ecoinvent for the FG system as well</t>
  </si>
  <si>
    <t>not made explicit, but presumably the same as in Junne et al. 2020 (FRITS model; also reviewed here): "Total impacts from CHP are subsequently allocated to heat and power generation according to the heat and power output (energy allocation)"</t>
  </si>
  <si>
    <t>use only ecoinvent data directly -&gt; multifunctionality already solved</t>
  </si>
  <si>
    <t>defined in the previous work of the authors that this paper is build on (Baumgärtner et al., 2021), which was not reviewed by us as it does not contain any changes to unit processes over time: "Here, we assume heat as waste and assign all environmental impacts to the electricity generation"</t>
  </si>
  <si>
    <t>mix allocation and substitution: 
- "co-products of ingredients": "allocation based on the gross energy content"
- "use of fish residues (uneaten feed and feces) as natural fertilizers": "avoided production of synthetic fertilizers" (called system expansion by the authors, but it is actually substitution)
- co-products from algal oil production: avoided production of animal feed and light fuel
- "By-products from food industry": "used as feed in the Singaporean case and as inputs for FMFO production; as typically done in LCA dealing with waste generation, these are modeled as by-products with zero burden, while avoided production of the quality fish it replaces is considered to be avoided at the level of the fileting industries."</t>
  </si>
  <si>
    <t>disclosed for copper mining: economic allocation (revenue-based partitioning of production between cobalt and its host metal based on global average price from 2006 to 2015 and localized mine production (not refining) data (only considering countries where not only cobalt but also copper and nickel are produced), both from USGS)</t>
  </si>
  <si>
    <t>disclosed for Fischer-Tropsch synthesis: physical allocation based on energy content</t>
  </si>
  <si>
    <t>materials not in closed loop (output of optimisation model) accounted for with substitution</t>
  </si>
  <si>
    <t>disclosed with respect to recycling: mass allocation factors (from EverBatt, see table S22)</t>
  </si>
  <si>
    <t>"Lifecycle optimization approaches, such as PULPO and TCM, are inherently capable of handling multi-functional units without the need for allocation, provided that multiple outputs can be utilized within the system based on the specified functional unit (Heijungs &amp; Suh, 2002). In the example above, both electricity and CO2 can be utilized to meet the functional unit requirements, allowing the multi-functional process to be included in the optimal technology mix. If, however, the functional unit would consist only of electricity, the multi-functional powerplant with CC process could only be implemented to the extent that methanol is used in the background, resolving the material balance of methanol and captured CO2 to zero."
- we interpret this in the following way: because both flows are included in the system entirely, how the impacts are allocated between both is irrelevant</t>
  </si>
  <si>
    <t>substitution ("Credit is given to useful products, materials and energy carriers recovered in the waste-management system that can replace products made from virgin raw materials (...) When selecting the avoided material this was done using average data. For materials, the assumed avoided production was the same in all scenarios, using datasets from Ecoinvent.")</t>
  </si>
  <si>
    <t>mix of mass-based and economic allocation ("Regarding the co-production of metals in mining processes, we modify the database to allocate the amounts of metals extracted according to physical mass balances: extraction of individual elements in the ore is fully attributed to the production of the respective metal; while other elementary and intermediate flows such as electricity and diesel remain unchanged and follow an economic allocation (SI1, S9), which is also the default option to deal with multi-functionality in ecoinvent (Wernet et al., 2016).")</t>
  </si>
  <si>
    <t>economic allocation ("we used allocation based on the economic value of the outputs")</t>
  </si>
  <si>
    <t>economic allocation ("We applied economic allocation to these by-products, which is based upon the mass and economic value of copper material and the by-products.")</t>
  </si>
  <si>
    <t>disclosed for recycling: substitution (" The system expansion approach is applied to assign the credits for the avoided primary productions. The substitution effects of secondary products from these alternative processes are considered in the modeling, potentially substituting the primary production of materials (Ekvall, 2020; Schrijvers et al., 2020). ")</t>
  </si>
  <si>
    <t>disclosed for one FG process (In the CG process, 3.18 kW h of electricity is produced as a co-product21 and assumed to offset the environmental burdens of electricity from the grid using the substitution method.34,35")</t>
  </si>
  <si>
    <t>disclosed for co-generation ("Total impacts from CHP are subsequently allocated to heat and power generation according to the heat and power output (energy allocation)")</t>
  </si>
  <si>
    <t>disclosed for electrolysis ("we allocate all environmental burdens to hydrogen, as the current market cannot absorb the excess oxygen generated as a by-product of water electrolysis")</t>
  </si>
  <si>
    <t>disclosed for two processes: economic allocation ("Economic allocation is used to distribute the environmental impacts among the different co-products generated during the transesterification and hydrodeoxygenation processes.")</t>
  </si>
  <si>
    <t>disclosed for two processes: mass-based allocation ("mass-based allocation for collection &amp; transportation and sorting &amp; dismantling, and economic allocation for recycling and secondary smelting and the refining process")</t>
  </si>
  <si>
    <t>disclosed for co-generation: energy-based allocation ("co-generation of electricity and other energy carriers was handled by splitting indirect energy use and GHG emissions according to the shares of energy output, on a per-Joule basis.")</t>
  </si>
  <si>
    <t>disclosed for recycling: substitution (in our view falsely called system expansion by the authors; "credit is given to the recovery of resources from waste in the foreground system through system expansion and modelling of the avoided processes. (…) In analyses of waste prevention measures, the avoided burden of manufacturing and the use of products corresponding to the reduced waste amounts are calculated. ")</t>
  </si>
  <si>
    <t>disclosed with respect to recycling: substitution ("EoL environmental credits for all recycled metals were calculated assuming the displacement of, respectively, primary metal supply chains for closed-loop recycling, and the industry average mix of primary and secondary supply chains for open-loop recycling.")</t>
  </si>
  <si>
    <t>substitution</t>
  </si>
  <si>
    <t>substitution ("Reuse materials remain within the system boundaries and are assumed as avoiding the extraction of new materials. Low quality recyclate is assumed to be used outside the system boundary and its impact is included as avoided product. When materials are incinerated, its emissions are included as impact, and recovered heat and electricity are included as avoided products.")</t>
  </si>
  <si>
    <t>changes only for sectors covered by premise</t>
  </si>
  <si>
    <t>only changes to electricity supply considered in the BG system ("There are two reasons for only incorporating the developments in the electricity supply, instead of incorporating developments of other energy supply systems as well. First, many machines or smelters that consume fossil fuels are not likely to shift to different energy sources in the short term, since this would essentially mean a complete replacement of the conventional machinery and equipment. Second, the effects on the environmental impacts of incorporating a changing energy mix as a whole compared to incorporating a changing electricity mix only are marginal for copper – which we found out by comparing the LCA results of including and excluding the complete energy mix.)"</t>
  </si>
  <si>
    <t>only changes to electricity supply considered in the BG system</t>
  </si>
  <si>
    <t>only changes to electricity supply considered in the BG system; changes not consistently applied to the BG system (i.e. potential influence on other BG processes not considered)</t>
  </si>
  <si>
    <t>only selected changes in the BG system ("We modify the supply of electricity, heat and transport services based on prospective energy scenarios.")</t>
  </si>
  <si>
    <t>only selected changes in the BG system</t>
  </si>
  <si>
    <t>only changes to electricity supply and selected material production processes considered in the BG system</t>
  </si>
  <si>
    <t>only selected changes to the BG system; changes not consistently applied to the BG system (i.e. potential influence on other BG processes not considered)</t>
  </si>
  <si>
    <t>only changes to electricity supply and aluminium production considered in the BG system; changes not consistently applied to the BG system (i.e. potential influence on other BG processes not considered)</t>
  </si>
  <si>
    <t>changes only for sectors covered by NEEDS</t>
  </si>
  <si>
    <t>only selected changes to the BG system (electricity, heat, fuel mix)</t>
  </si>
  <si>
    <t>only changes to electricity supply and steel recycling rate considered in the BG system</t>
  </si>
  <si>
    <t>all BG characterisation results from the micro-level LCA assumed to follow IEA scenario for the energy sector; we do not consider this to be a consistent application of BG changes</t>
  </si>
  <si>
    <t>all BG characterisation results from the micro-level LCA assumed to develop at the same rate as the energy sector; we do not consider this to be a consistent application of BG changes</t>
  </si>
  <si>
    <t>only changes to electricity supply and natural gas production considered in the BG system; changes not consistently applied to the BG system (changing electricity mix in the FG is not included in the indirect emissions of cars and generation technologies directly (these are implemented as fixed factors))</t>
  </si>
  <si>
    <t>GEM-LCA</t>
  </si>
  <si>
    <t>DSM-LCA</t>
  </si>
  <si>
    <t>No explicit model coupling</t>
  </si>
  <si>
    <t>IAM-LCA b</t>
  </si>
  <si>
    <t>IAM-LCA a</t>
  </si>
  <si>
    <t>only electricity supply changed in the BG system</t>
  </si>
  <si>
    <t>only changes to electricity supply, selected material production processes and air pollution factors in the IO-LCA matrices considered in the BG system</t>
  </si>
  <si>
    <t>only selected changes in the BG system and from the NEEDS database</t>
  </si>
  <si>
    <t>ESM-LCA a</t>
  </si>
  <si>
    <t>ESM-LCA b</t>
  </si>
  <si>
    <t>Life cycle stages, details</t>
  </si>
  <si>
    <t>5 scenarios: one parameter changing per scenario (similar to a LSA sensitivity analysis)
- Reference (REF): follows past trends, SSP2-NPi for BG
- Energy (ENE): new buildings passive house standard from 2023, 100% heating systems modernisation rate (100% of heating systems at EoL modernised, oil and gas fully phased out 2050), "annual thermal refurbishment rate for residential buildings will increase from approximately 1% in 2023 to 2.5% in 2030 and slowly decrease to 2% in 2050", only deep and medium refurbishment (no light), SSP2-PkBudg500 for BG
- Sufficiency (SUF): decreasing floor area per person (residential buildings) from 55m2 in reference in 2050 to 44m2, "vacancy rate will be reduced by 25% in 2050", SSP2-PkBudg500 for BG
- Materials (MAT): "share of timber construction will be gradually increased to 80% in 2050 (...) gradual phase-out of synthetic insulation materials is implemented until it is fully phased out in 2050. These materials are replaced by either biogenic or mineral materials depending on the insulation location", SSP2-PkBudg500 for BG
- Circularity (CIR): closed loop assumed ("In the model, the outflows of materials are compared to their inflows. If a material inflow can be replaced by a wastematerial outflow, then it is replaced by considering the determined recycling routes."), specific recycling routes for different materials.", SSP2-PkBudg500 for BG</t>
  </si>
  <si>
    <t>5 scenarios: 
- Reference scenario: "assuming developments in accordance with official forecasts made in 2008 (business as usual)"
- Global sustainability: "assuming globalization and strong political control over the environment and natural resources"
- Global markets: "assuming globalization and weak political control over the environment and natural resources"
- Regional markets: "assuming regionalization and weak political control over the environment and natural resources"
- European sustainability: "assuming regionalization and strong political control over the environment and natural resources"
additionally assess effect of 4 waste policy instruments within each scenario: weight based fee (only one shown in the main paper, rest is in SI3), climate incineration tax, electricity certificates, weight based waste fee alt2
scenario parameters: details below from Söderman et al. 2016, to which the authors refer
- into EMEC: GDP, commodity prices, world trade, employment, waste intensities, carbon permit price; how these were derived is not disclosed (except for the waste intensities, see field 'Prospective variables' in the FG)
- into NatWaste: policy instruments (taxes, feeds and tradable permits, bans)
- into SWEA: BG electricity and heat generation; how these were derived is not disclosed (see field 'Prospective variables' in the BG)</t>
  </si>
  <si>
    <t xml:space="preserve">3 scenarios for tailing management option (all have the same metal demand and background system scenarios); we do not consider the "baseline scenario" as it is not prospective
- BAU route: backfilling operations in all mines, no secondary products
- Mineral valorization route: specific treatments (see table S4), co-products displacing "Primary CSA cement" and "Primary ceramic roof tile"
- Metal and mineral recovery route: specific treatments (see table S4), co-products displacing "Primary metals (copper and zinc)", "Primary Portland cement" and "Primary sulfuric acid, heat"
</t>
  </si>
  <si>
    <t>3 LED market penetration scenarios: the macro-level results are only shown for the second scenario
- "current market shares of lightsource technologies remain the unchanged from 2010 to 2050"
- "likely/conservative scenario of 50% LEDs in 2030 and 70% LEDs in 2050" 
- "high LED penetration of 90% by 2050"</t>
  </si>
  <si>
    <t>48 scenarios: combination of
- 2 scenarios for the CO2 price in 2050: "€50/t and €150/t"
- 8 VRE penetration levels ("Total input ofVRE (before curtailment)"): 0%, 20%, 40%, 60%, 80%, 100%, 120%, 140%
- 3 scenarios for "percentage split between wind and solar": 80% wind and 20% solar, 50% wind and 50% solar, 20% wind and 80% solar</t>
  </si>
  <si>
    <t>only one scenario</t>
  </si>
  <si>
    <t>6 scenarios: combination of CO2 reduction target ("does not cover background processes for imports, construction and decommissioning") and possibility of CO2 storage
- 80: "80% CO2 reduction vs. 1990 by 2050"
- 80_NoCCS: "Same as above, but without possibility of CO2 storage"
- 95: "95% CO2 reduction vs. 1990 by 2050"
- 95_NoCCS: "Same as above, but without possibility of CO2 storage"
- 95_Optimistic: "Same as above, but with additional system and technology drivers that favor PtM deployment" -&gt; "Low (75 €/kW) Capex (only for methanation), low biomass potential (7 EJ/yr), high gas price (almost 20 €/GJ by 2050), high cost for the electricity network, high PtM efficiency (&gt;85% including heat recovery), high electrolyzer performance (400 €/kW and 86% efficiency), low PtL performance, SOEC possible and high LMG efficiency in ships"
- 95_Optimistic_NoPtM: "Same as above, but PtM is not part of the technology portfolio"</t>
  </si>
  <si>
    <t>3 scenarios: each scenario  turned into "more than 30 levers (e.g. uptake of teleworking) and over 100 factors (e.g. mode shift from car as diver to national rail for trip lengths of 25–50 miles)" through expert consultation in workshops; parameters are set for 2030 and 2050 (see SI), how the years in between are modelled is not disclosed
- Business-As-Usual (BAU): "Identifies levels of energy demand for mobility up to 2050 based on current known and planned UK Government policy instruments. Notably, policy announcements and ambitions without actionable measures are excluded."
- High Ambition (HA): "Assumes significant shift in the attention given to transport and energy demand strategies providing an ambitious programme of interventions across the whole transport sector describing what could possibly be achieved with existing technologies and current social and political framings."
- Transformative Change (TC): "Considers transformative change in technologies, social practices, infrastructure and institutions to deliver both reductions in energy but also numerous co-benefits such as health, improved local environments, improved work practices, reduced investment needs, and lower cumulative GHG emissions."</t>
  </si>
  <si>
    <t>10 scenarios: 1 reference scenario + 9 policy scenarios for "(a) purchase taxes and feebates, (b) scrappage rebates and (c) vehicle excise duties (road taxes)", each with a low, medium and high ambition version ("apart from vehicle taxation levels no other factors are changed relative to baseline (REF)")
- reference: "projection of transport activity, energy use and emissions as if there were no changes to transport (and fiscal) policy beyond March 2010"
- CPT1: "simple tax of GBP2000 for new cars with CO2 &gt; 225 g/km, tightening every 5 years by one CO2 band"
- CPT2: "feebate graded by fuel type and CO2, tightening over time: (a) CO2-graded tax up to GBP4000 (&gt;200 g/km) (b) rebate up to GBP2000 (&lt;100 g/km) (c) 50% tax discount for alternative fuels"
- CPT3: "feebate graded by fuel type and CO2, tightening over time: (a) CO2-graded tax up to GBP8000 (&gt;200 g/km) (b) rebate up to GBP4000 (&lt;100 g/km) (c) 50% tax discount for alternative fuels"
- VED1: "road tax graded by fuel type, CO2 rating and year of first registration (first year tax is higher)"
- VED2: "as VED1 but tightening of CO2 limits over time"
- VED3: "as VED2 but with double duty rates"
- SCR1: "simple, threshold-based rebate of GBP2000, 2009–2010 only"
- SCR2: "simple, threshold-based rebate of GBP2000, 2011–2050, tightening by CO2 limits over time"
- SCT3: "rebate of up to GBP2000 graded by CO2, 2011–2050, tightening by CO2 limits over time"</t>
  </si>
  <si>
    <t>2 scenarios (same for FG and BG): 
- Chinese Policy (CP): continuation of current trends, process efficiencies &amp; processing rates constant at 2017 levels, unchanged lifetimes of copper products, electricity supply change in the BG
- Technical &amp; Circular (TC): improved process efficiencies &amp; processing rates (see field 'Techological development'), product specific lifetime extensions assumed, electricity supply change in the BG</t>
  </si>
  <si>
    <t>2 scenarios: from Energy Technology Perspectives of the IEA 2010, same in FG and BG 
- BAU (Baseline)
- 2 °C (BLUE map)</t>
  </si>
  <si>
    <t>10 scenarios; combination of 7 variables (BEV market share from 2 IEA scenarios, BEV lifetime, dominant cell chemistry, share of production waste, recycling efficiency, dominant location of battery production, premise BG scenario), constructed similarly to a LSA sensitivity analysis
- Base: STEPS BEV market share, status quo BEV lifetime, NCX dominant cell chemistry, 10% production waste, legal recycling efficiency, CN dominant battery production, SSP-Base BG
- LFP: same as Base, but LFP dominant cell chemistry
- BEV fast: same as base, but APS BEV market share
- BEV, reduced lifetime: same as base, but BEV lifetime 50% of status quo
- BEV fast, reduced lifetime: same as base, but APS BEV market share and BEV lifetime 50% of status quo
- Production waste reduction: same as base, but 0% production waste
- Recycling improvement: same as base, but 100% recycling efficiency
- EU production: same as base, but battery production in the EU
- CN production Paris compatible: same as base, but SSP2-PkBudg500 in BG
- EU production Paris compatible: same as base, but SSP2-PkBudg500 in BG and Eu dominant battery production</t>
  </si>
  <si>
    <t>only one scenario with "net-zero territorial CO2 emissions from Switzerland’s fuel combustion and industrial processes by 2050": "SPS1: Team Sprint. Focus on Sustainability" (Panos et al., 2022)"</t>
  </si>
  <si>
    <t>2 scenarios: fictional, stylised examples, one per region
- key input parameters: fleet size in 2020, annual growth rate, carbon intensity of the electricity mix</t>
  </si>
  <si>
    <t>3 scenarios for the electricity supply from the IEA Energy Technology Perspectives 2010: same for FG and BG
- "Baseline"
- "BLUE Map"
- "BLUE hi REN"</t>
  </si>
  <si>
    <t>6 scenarios: combination of demand scenarios and feed options: 
3 production scenarios: 
- NO-BAU: "annual increase of 3% of salmon production in sea cages over the whole period. No increase in the other categories"
- NO-S1: "annual increase of 4% of salmon production in sea cages over the whole period, associated with an important increase of salmon production in RAS and offshore technologies of 20% annually during the whole period. IMTA is a lesser priority, hence an increase of 15% annually during the whole period."
- NO-S2: " Annual increase of 2% of salmon production in sea cages over the whole period. Introduction of white fish production in sea cages and mollusks in IMTA with salmons, with an annual increase of 5% for the former and 25% for the latter until 2040, and lower growths afterwards. Moderate increase of RAS and offshore (10% annually, or half of NO-S2)."
2 feed options for each production scenario (see table 3): 
- Feed option 1 ("Fishmeal and fish oil production"): "Part of FM (FO) produced from by-products increases from 19.4% (28,1%) in 2017 to 70% (80%) in 2040."
- Feed option 2 ("Feed pellets production"): 
-- salmons: "100% of FMFO replaced by insect-based meal and algal oil in 2030."
-- white fish: "20% of FO replaced by algal oil in 2040, and FM decrease to 25% in 2040 replaced by insect-based meal."</t>
  </si>
  <si>
    <t xml:space="preserve">3 scenarios, for which the authors only provide the storylines, not the numeric parameters ("Obviously, there are many assumptions behind the quantification of the storylines, clearly too many to provide in the space of ajournal paper. We have provided the key assumptions and data and are happy to provide further details on request.")
- Reference (REF): "no changes in trip patterns (i.e. trips and distance travelled per person p.a., and mode split) apart from lower commuting levels due to an ageing population, and average demand elasticities (of GDP/capita, population and generalised cost) for international air and freight transport"
- Lifestyle change (LS): "Radical change in travel patterns and mode choice leading to relatively fast transformations and new demand trajectories" (see table 3)
- Electric vehicle promotion and petrol/diesel ‘phase-out’ (EV): based on "plug-in vehicle deployment targets for 2020 and 2030 at 9 and 60%" and iterative run of STEAM leading to these ("phasing out of conventional oil based ICVs: range of measures incl. pricing, taxation, investment, EV infrastructure, scrappage/purchase tax on future diesel and petrol cars, changing consumer preference")
</t>
  </si>
  <si>
    <t xml:space="preserve">3 scenarios: combination of premise IMAGE scenario in the BG and IEA Ammonia Technology Roadmap scenario in the FG
- premise IMAGE SSP2-RCP6.0 + regional technology shares assumed constant from 2020 ("The IEA Roadmap does not provide an equivalent to SSP2-RCP6.0 (Base). However, as the Base scenario represents an absence of climate policy, the 2020 regional technology shares are assumed to remain constant in the Base (3.5 ◦C) scenario.")
- premise IMAGE SSP2-RCP2.6 + regional technology shares based on IEA Stated Policies Scenario (STEPS) 
- premise IMAGE SSP2-RCP1.9 + regional technology shares based on IEA Sustainable Development Scenario (SDS)
</t>
  </si>
  <si>
    <t>10 scenarios: combination of 5 scenarios in the FG and 2 premise scenarios in the BG
FG scenarios: 
- 100% trucks powered by diesel
- 100% trucks powered by biofuels (bioICTs)
- 100% battery electric trucks (BETs)
- 100% hydrogen fuel cell trucks (FCTs)
- deployment of "the best of the three options in every year, region and policy" (called utopic scenario)
BG premise scenarios: 
- premise REMIND-SSP2-Base
- premise REMIND-SSP2-PkBudg500</t>
  </si>
  <si>
    <t>8 scenarios: 4 technology scenarios combined with 2 demand scenarios
4 technology scenarios: 
- Conv: "no transportation-sector specific policies are in place beyond economy-wide carbon pricing"
- ConvSyn: "gradual transition toward mostly synthetic fuels supply (80%) for gasoline and diesel by 2050 is mandated."; synthetic fuels from 2025 to 95% based on hydrogen from electrolysis, carbon via low-temperature DACs
- H2Push: 67% fuel cell vehicles in 2050, 95% of hydrogen via electrolysis
- ElecPush: "share of LDV demand supplied by BEVs reaches 76% in 2050 and BEVs constitute 95% of new sales"
2 demand scenarios: 
- Baseline: "LDVs are assumed to remain the major pillar of individual mobility, with growth rates based on historical trends"
- LowD: "lifestyle changes in our scenarios reduce the total LDV demand by almost 25% compared to the default trajectories in the scenarios in 2050"
one BG scenario (premise) is applied to all FG scenarios: the authors to not mention SSPs or RCPs, but only " carbon budget equivalent to the cumulative release (...) of CO2 in the timeframe 2011–2100" and contradict themselves with respect to the exact number
- Main text (section 2.2): "All scenarios are subject to a worldwide carbon budget equivalent to the cumulative release of 700–800 Gt of CO2 in the timeframe 2011–2100. 
- SI (section 3): "As noted in the main text, all scenarios compy with a global budget of 900 GtCO2 in the me frame 2011-2100.", the same in Zenodo ("All scenarios are subject to a 900Gt carbon budget for the time span 2011-2100.")</t>
  </si>
  <si>
    <t>6 scenarios: combinediton of 3 FG and 2 BG scenarios: 
3 FG scenarios for heating demand and share of heating technologies: "based on adapted versions of France’s national low-carbon strategy" (see field 'Prospective variables' FG)
- REF: "a reference trajectory needed to achieve carbon neutrality in the heating sector", "following the technological developments of the French Environmental Regulation 2020"
- LOW: "assumes a lower renovation rate and less heat pumps replacements of Joule electric heaters than in the REF trajectory leading to an increase in energy consumption"
- SUFF: "additional decrease in energy consumption compared to the REF trajectory due to, among other things, a slightly lower demand for heating temperature and less surface area to be heated in the residential and tertiary sectors"
3 BG energy scenarios: based on "power mix scenarios generated as part of RTE’s project “Futurs énergétiques 2050” (RTE, 2021)"
- FR_static: static power mix at 2018 shares
- N03: "further construction of nuclear power plants and the maintenance of existing ones, as well as the deployment of renewable energy technologies resulting in a 50/50 distribution between nuclear power and renewable energy by 2050"
- M0: "accelerated decommissioning of existing nuclear power plants without construction of new ones and on the extensive development of renewable energies to reach 100% electricity from renewable sources by 2050, namely 36% photovoltaic, 52% wind (onshore and offshore), and 9% hydropower"</t>
  </si>
  <si>
    <t>6 scenarios: combination of 2 FG and 3 BG scenarios
2 FG scenarios: assessed with the coupled ESM; see table 1 for the key assumptiosn underlying both scenarios
- "Baseline": "continuing current trends in energy consumption and use"; scenario "SPS4:Walk&amp;Talk. CurrentTrends and Policies" in Panos et al. (2022, 2025)
- "Net Zero": "necessary steps to achieve net zero domestic carbon dioxide emissions by 2050"; scenario "SPS1: TeamSprint. Focus on Sustainability" in Panos et al. (2022, 2025)
3 BG scenarios: REMIND premise; see field 'Prospective variables' BG
- REMIND SSP2-NPi
- SSP2-PkBudg1150
- SSP2-PkBudg500</t>
  </si>
  <si>
    <t>702 scenarios: combination of FG and BG scenarios
78 FG scenarios: 
- BAU: "forecast from Hoxha et al. (2024)"
- mitigation scenarios build similar to a sensitivity analysis: 7 different shares of biobased ("by introducing as built archetypes using wood for loadbearing structures and also secondary elements such as light internal walls and cladding") buildings (0% to 60% in 10% steps) and 11 amounts of reudction in construction activity (0% to 100% in 10% steps) combined -&gt; 77 scenarios
9 BG scenarios: all based on premise, see field 'Prospective variables' BG, reported as average</t>
  </si>
  <si>
    <t xml:space="preserve">6 scenarios: combination of market shares of powertrain technologies (FG) and electricity supply (BG)
3 FG scenarios for sales market share of powertrain technologies scenarios
- Fixed Sales Shares: market shares fixed at 2022 levels + fixed 2020 electricity supply
- BEV 2035: linear increase of BEV to 100% in 2035 + fixed 2020 electricity supply
- BEV 2045: linear increase of BEV to 100% in 2045 + fixed 2020 electricity supply
2 BG scenarios for the electricity supply: 
- fixed 2020 grid mix 
- projected decarbonized grid mix
</t>
  </si>
  <si>
    <t>4 scenarios: combination of FG and BG scenarios
2 foreground scenarios: 
- "Reference": taken from "Pregger et al. [30]", normative scenario describing "a technically feasible way of achieving the German targets for reducing greenhouse gas emissions by 80% by 2050"
- "Target": based on "BMWi [38]", but adapted to include same assumptions for "GDP, population, useful energy demand and transport" as "Pregger et al. [30]", "CO2 reduction of ~65% in 2050 compared to 1990"
2 background scenarios: changing electricity mix according to 2C and 5C scenarios from Teske et al.</t>
  </si>
  <si>
    <t>3 scenarios: one for the FG (assuming fixed demand of 100 Mt methanol in the future) and 3 premise BG scnearios (REMIND SSP2-Base, SSP2-ND, SSP2-PkBudg500)</t>
  </si>
  <si>
    <t>5 scenarios: one for each NEEDS database scenario, affecting the LCA impact factors for the generation technologies and through that also the optimisation and thus the total FG; the model can optimise for costs or environmental impact, which we do not include as 2 separate scenarios
- Pessimistic Business as Usual (P-BAU)
- Pessimistic 440 ppm (P-440 ppm)
- Realistic-Optimistic 440 ppm (RO-440 ppm)
- very optimistic 440 ppm (VO-440 ppm)
- very optimistic based on a renewable energy electricity (VO-Renew)</t>
  </si>
  <si>
    <t>15 scenarios: BAU ("material composition of vehicles and their average mass remains the same as in 2010") + 4 lightweighting scenarios (Ducker, LWE-steel-intensive, LWE-Al-intensive, and LWE-Al-extreme)
- for each: "open loop recycling (with material cascading, solid bars), a semiclosed recycling loop where 50% of the secondary material is recycled within the same quality group (o), and a fully closed loop without cascading (x)"</t>
  </si>
  <si>
    <t>3 scenarios: both BG and FG scenarios based on IMAGE: SSP2 combined with 3 RCPs ("no climate policy (RCP-Base) (3.5 ◦C), RCP-2.6 (2 ◦C) and RCP-1.9 (1.5 ◦C).")</t>
  </si>
  <si>
    <t>3 scenario: FG and BG based on premise IMAGE SSP2-Base, SSP2-RCP26 and SSP2-RCP19</t>
  </si>
  <si>
    <t>combination of IEA scenario for the FG and REMIND scenario for the BG (establishign a regional matching): 
- IEA Stated policies scenario (STEPS) &amp; REMIND SSP2-NDC
- IEA Announced pledges scenario (APS) &amp; REMIND SSP2-PkBudg1150
- IEA Net zero emissions by 2050 scenario (NZE) &amp; REMIND SSP2-PkBudg500</t>
  </si>
  <si>
    <t>4 scenarios: mention one scenario only, but show 4 variants of it in one plot (Figure 5c), which we count as separate scenarios:
- "BAU": "neither energy-saving measures nor space heating system (SHS) replacement is implemented on existing buildings, and new buildings are heated with natural gas boilers"
- "saving": "only energy-saving measures are implemented on existing buildings, while the SHSs for existing buildings remain unchanged and new buildings are heated with natural gas boilers"
- "saving + SHS (SSP2)": "both energy-saving measures and SHS replacement are implemented, and the GHG emissions are calculated with the ecoinvent database SSP2"
- "saving + SHS (SSP2450)": same as the one above, but "ecoinvent database SSP2450, representing a quicker energy transition, is used for GHG emission calculation"</t>
  </si>
  <si>
    <t xml:space="preserve">4 scenarios: each characterised by the adoption of a different refrigerant from 2020 on
- REF - "All the MAC systems of vehicles in the future will still adopt R134a as the refrigerant"
- S1 - "R152a will be adopted in new vehicles sold from 2020"
- S2 -  R1234yf will be adopted in new vehicles sold from 2020
- S3 -  R744 will be adopted in new vehicles sold from 2020
</t>
  </si>
  <si>
    <t>12 scenarios: combination of FG and BG scenarios
- 4 FG scenarios for EV share of the totla vehicle stock in 2050: "S40%, S60%, S80%, and S100%", as based on the IEA scenarios; "In all four scenarios, the EV stocks are monotonously increasing within all regions."
 - 3 BG scenarios: premise IMAGE SSP2-RCP6, SSP2-RCP26, SSP2-RCP19</t>
  </si>
  <si>
    <t>36 scenarios: combining
3 scenarios for the feedstock: 100% fossil fuel-based; 100% corn-based in 2050 with linear growth from 0% in 2015; 100% sugarcane-based in 2050 with linear growth from 0% in 2015
2 scenarios for the annual demand growth: 2% or 4% annual growth from 2015 production volumes
2 scenarios for the BG energy mix (see SI table 5): 
- "Current energy mix scenario": constant current electricity mix, heat from natural gas and diesel; constant emission factors
- "Low carbon energy scenario": 100% electricity from wind power and heat from renewable biogas by 2050, linear interpolation in between; constant emission factors
3 scenarios for the EoL mix (see SI table 11):  
- "Predicted": differentiated for non-biodegradable and biodegradable plastics, assuming specific shares in 2050 ("based on literature and government statistics") and interpolating linearly in between
- "Incineration": "Incineration or composting rate is assumed to grow linearly to 100% in 2050, with the rates of other EoL options decrease linearly" (composting for all biodegradable plastics, incineration for the non-biodegradable ones)
- "Recycling": "Recycling rate is assumed to grow linearly to 100% in 2050, with the rates of other EoL options decrease linearly"</t>
  </si>
  <si>
    <t>5 scenarios: 
'- 'frozen progress' (FP)
- 'recent ambitions' (RA)
- 'circular economy' (CE), "improved scrap recovery"
- 'circular economy' (CE), "more intensive use"
- 'circular economy' (CE), "Lifetime extension"</t>
  </si>
  <si>
    <t>2 scenarios: 
- Markets First: "a scenario where global developments are dominated by global markets"
- Equitability First: "a scenario aiming at sustainable development, which includes a far-reaching transformation of the energy system as well as a marked improvement in global equity."</t>
  </si>
  <si>
    <t>3 scenarios for the medium demand: FCEV penetration assumed for 2025, 2030, 2034, 2040, 2045 and 2050 with linear interpolation in between (see figure 3, only the value for 2050 is provided numerically (15%)
- "MEDIUM0": "no carbon footprint restriction, i.e. evolved technology production mix based only on techno-economic criteria"
- "MEDIUM60": "environmental constraint of ≥60% carbon footprint saving with respect to the scenario MEDIUM0 in 2050"
- "MEDIUM80": "≥80% carbon footprint saving with respect to MEDIUM0 in 2050"
authors define 3 demand scenarios (low, medium and high), but show the results only for medium demand, which is why we cound the high and low demand scenarios not as scenarios here</t>
  </si>
  <si>
    <t>5 scenarios: one particular mitigation scenario (RCP) combined with SSP marker scenarios, smelting energy intensity and inter anode deployment speed and adoption level assigned to it (see table 1)
- PRISMAL1: 1.5C, SSP1, low smelting energy intensity, quick inert anode deployment speed, 100% inert anode adoption
- PRISMAL2: 1.5C, SSP2, medium smelting energy intensity, slow inert anode deployment speed, 75% inert anode adoption
- PRISMAL3: Baseline, SSP3, high smelting energy intensity, no intert anode adoption
- PRISMAL4: 2.0C, SSP4, medium smelting energy intensity, slow inert anode deployment speed, 75% inert anode adoption (with geographical differentiation)
- PRISMAL5:  1.5C, SSP5, medium smelting energy intensity, quick inert anode deployment speed, 100% inert anode adoption</t>
  </si>
  <si>
    <t>3 scenarios: combination of SSP2 and 2 dismantling cases ("The first one, no dismantling case (Figure 3(a)) is the one where all alloys from one sector are mixed together prior the recycling. The second one, the full dismantling case (Figure 3(b)) assumed that a complete dismantling is done for every sectors meaning that it is possible to regroup alloys from the same type together before the recycling.") and one case with no contamination at all
- SSP2-nd - "Projections of flows following the middle-of-the-road narrative (SSP2) with the no dismantling case"
- SSP2-fd - "Projections of flows following the SSP2 narrative with the full dismantling case"
- SSP2-fd-100cr - "Projections of flows following the SSP2 narrative with the full dismantling case and a 100% collection rate"
each of the scenarios is tested with 1 to 8 bins (which we do not count as scenarios)</t>
  </si>
  <si>
    <t xml:space="preserve">2 scenarios: 
- "Baseline": no new EVs for TaaS
- "TaaS": linear increase of share of new EVs that are for TaaS from 0% in 2020 to 45% in 2050
</t>
  </si>
  <si>
    <t>48 scenarios: combining
4 car fleet scenarios: "only one EBM powertrain is introduced into the fleet and the other two are excluded from that scenario", see field 'Prospective variables' FG for the exact implementation
- "non-EBM": 60% gasoline and 40% diesel
- 3 EBM scenarios with "share of the future Swiss passenger car fleet is substituted by" EBM so that "Switzerland’s current and foreseeable future targets for average CO2 emissions of newly registered passenger cars are fulfilled" ("under the new Swiss CO2 act all EBM powertrains (incl. H2-FCEV and SNG-V) have the same zero tail-pipe CO2 emissions and the same legal limits in terms of phase-in and super-credits")
-- difference is only the exact EBM technology: "BEV", "H2-FCEV" or "SNG-V"
3 PV expansion scenarios: 
- PV supply as provided by coupled model (EUSTEM) -&gt; 13 TWh by 2050
- 2.5 times larger PV supply (exogenous assumptions) -&gt; 32 TWh by 2050; "the annual supply of all other CH and EU electricity generation technologies to meet the domestic demand remains unchanged as provided by EUSTEM-LC."
- 4 times larger PV supply (exogenous assumptions) -&gt; 52 TWh by 2050; "the annual supply of all other CH and EU electricity generation technologies to meet the domestic demand remains unchanged as provided by EUSTEM-LC."
2 imported electricity scenarios: 
- "LC”: "hourly GHG content of imported electricity is equal to the GHG intensity of the average electricity supply mix in EUSTEM’s low-carbon (LC) scenario"
- "CCGT": "only electricity from combined-cycle-gas-turbine (CCGT) power plants can be imported (...) The specific GHG content of “CCGT” is assumed to be constant throughout the year, yet will decrease from 423 g CO2-eq / kWh (in 2015) to 360 g CO2-eq / kWh (in 2050)."
2 cases for dealing with excess electricity: 
- “Add. SNG prod.”: all excess electricity turned into Synthetic Natural Gas via Electrolysis-Methanation and used in other sectors ("other energy sectors is not explicitly modelled, it is just presumed that it may be used elsewhere and only the amounts of excess electricity and thereof producible SNG are quantified")
- “Curtailment”: "all excess electricity is curtailed"</t>
  </si>
  <si>
    <t>18 scenarios: combining
3 technology scenarios: 
- reference scenario: 100% fossil jet fuel
- offsetting impact rhough DACCS
- syn-jet fuel from DACCU and hydrogen from electrolysis, offsetting remaining impacts with DACCS
3 demand scenarios for 2025 to 2100: all assuming demand reaches its pre-Covid-level by 2024
- growing demand: "European air traffic, in terms of kilometers flown, converges towards a 1.8% annual growth rate" (based on "Destination 2050" report of SEO Amsterdam Economics, extrapolated to 2100)
- stationary demand: "annual growth rate of zero"
- declining demand: "the “negative” growth rate for the declining demand trajectory is defined as the minimum decline that allows avoiding the use of DACCS to reach warming-neutrality. This depends on the climate scenario and fuel technology considered."
2 "climate scenarios": SSP 2-RCP 2.6 and SSP2-Baseline ("Both climate scenarios consider, to a different extent, the expected improvements in aircraft light-weighting, engine efficiency, seating capacity, and occupancy, but also the progress in other sectors, like electricity and syn-jet fuel production, until 2050. No further advancements are considered after that due to limitations and uncertainty in projected performance, except for the electricity mix, which is projected until 2100")</t>
  </si>
  <si>
    <t xml:space="preserve">4 scenarios: 
- Market first (MF) + Current Policies (CP)
- Policy first (PF) + New Policies (NP)
- Security First (SF) + Current Policies (CP)
- Equitability first (EF) + 450
</t>
  </si>
  <si>
    <t>8 scenarios: combining
2 electricity supply scenarios; taken from IEA (World Energy Outlooks (WEO) 2020 and 2021): 
- "Stated policies scenario": current policy ambitions, without additional policy implementation
- "Sustainable development scenario": “well below 2°C” pathway
2  battery type market share scenarios; taken from Xu et al. (2020)
- "NCX scenario": "Nickel and cobalt containing batteries dominate the market by 2050. NMC955 is launched in 2030 and progressively substitutes for other NMC chemistries until achieving a third of the global market share by 2050. The shares of NCA and LFP chemistries reduce from 2030 at a similar rate."
- "LFP scenario": "The market share of LFP is assumed to increase steadily from 30% in 2020 to 60% by 2030 and remain constant until 2050. Non-LFP batteries lose market share proportionally, similarly to the NCX scenario."
2 recycling scenarios: only applied to Europe, China, United States, Germany, and United Kingdom and results only shown on technology-level
- "European Battery Scenario": "Based on the mandatory minimum levels of recycled content declared by the new EU regulatory framework for batteries (27). Minimum levels of secondary materials would be set to 12% cobalt, 4% lithium, and 4% nickel for 2030; increasing to 20% cobalt, 10% lithium, and 12% nickel in 2035. Therefore, this scenario assumes that these shares of secondary materials in battery remanufacture while the remaining share will come from primary materials. Manganese, graphite, copper, and aluminum are assumed to be incorporated at 10%."
- "Circular Battery Scenario": "This scenario assumes a complete closed loop, where the battery reaches end of life, and is replaced with secondary materials from recycling alongside supplements with primary materials at the same battery chemistry and the same capacity. The ratio of recycled materials included in secondary battery manufacturing is based on the efficiency of material recovery for different recycling technologies given in Table S21, e.g. lithium recovered via hydrometallurgy at 90% efficiency will include 10% primary lithium and 90% secondary lithium."</t>
  </si>
  <si>
    <t>10 scenarios: same as in Naegler et al. 2021 (which the authors refer to for details and is also reviewed here) --&gt; derive 10 scenarios by harmonising re-modelling scenarios from the literature (see table 1) to include the same boundary assumptions (see Naegler et al. 2021 in this table)</t>
  </si>
  <si>
    <t>3 scenarios: all based on the MEDIUM demand scenario in Navas-Anguita et al. (2020) with different years of banning "hydrogen from fossil-based plants without CCS": "2030 in the scenario BAN 2030, 2035 in BAN 2035, and 2040 in BAN 2040"</t>
  </si>
  <si>
    <t>2 scenarios: differ with respect to modelling charging in the ESM in the FG
- "Reference": "BEVs charge directly (uncontrolled) according to synthetic driving profiles by Fattler [24] based on infas [36]"
- "V2G": "ESM includes the option of cost-optimized charging of BEVs", including uni- and bidirectional</t>
  </si>
  <si>
    <t>12 scnearios: combination of 
combine 3 BG scenarios per IAM with 2 FG scenarios from the Swiss Energy Perspectives for 2050
- RCP6 with IMAGE Base / REMIND Base + Business-as-usual
- RCP2.6 with IMAGE RCP26 / REMIND PkBudg1150 + Zero (Basis)
- RCP1.9 with IMAGE RCP19 / REMIND PkBudg500 + Zero (Basis)
4 BG scenarios (similar to a sensitivity analysis): electricity, electricity + cement, electricity + steel, all 3</t>
  </si>
  <si>
    <t xml:space="preserve">6 scenarios: combining
2 for demand and capacity: 
- "Reference": Stated Policy Scenario (STEPS) from Xu et al. for battery stock; "re-use rate is set to 20%"; 47.4 GWh/year increase of European battery manufacturing and recycling capacity (simplified into one number)
- "Worst case": "whole European batteries demand will be entirely supplied by Chinese manufacturers"
3 for production mix (based on Xu et al. are assumed for batteries imported from China): NCX scenario, LFP scenario, LiSAir scenario
</t>
  </si>
  <si>
    <t xml:space="preserve">8 scenarios: combining
4 FG scenario: "The changes in the parameters of the MFA and DSM towards their final value implemented as a linear change towards 2050."
- Baseline: baseline assumptions
- Stock: lifetime increase by 25% in 2050 (adapting the scale parameter of the Weibull function), 25% reduction of service demand for stock until 2050, 25% reduction of stock until 2050 (while keeping the service demand)
- MFA: 50% process efficiency increase
-- collection: "Reduces the losses at manufacturing by 50% linearly towards 2050. Instead the material ends up in the product."
-- sorting: "Reduces the material sent to shredding at the dismantling stage by 50% linearly towards 2050. Instead material is taken out and sent to large parts disassembly."
-- recycling: "Reduces the losses to disposal and incineration at collection by 50% linearly towards 2050. Instead the material is sent to high quality recycling."
-- dismantling: "Reduces the losses to disposal, incineration and low quality recycling by 50% linearly towards 2050. Instead the material is sent to high quality recycling"
-- manufacturing: "Reduces the losses of mechanical recycling by 50% linearly towards 2050. Instead the material ends up in recyclate. Additionally linearly to 2050, 50% of polymers are recycled with Thermal recycling through Pyrolysis."
- All: Combination of MFA and stock mitigations
2 BG scenarios: premise: IMAGE, SSP2-Base &amp; SSP2-RCP19
</t>
  </si>
  <si>
    <t>8 scenarios: combining (not counting different optimisation goals as different scenarios)
4 FG scenarios: combination of different technology availabilities, BG scenarios and optimisation goals (see table 2)
(1) "Single-objective Optimization - Least-cost Scenarios": optimising for cost only
- "cost-optimized BAU scenario": "follows BAU demand conditions “Weiter Wie Bisher - WWB” defined in the context of the Swiss Federation Energy Strategy 2050", "considers the phase-out of nuclear power plants and the implementation of energy-efficiency measures enshrined in law"; BAU BG database
- "cost-optimized climate scenario": additionally to BAU "95% reduction of direct greenhouse gas (GHG) emissions for the year 2050 in comparison to the year 1990" and deployment of CCS and DAC; BAU BG database
(2) "Single-objective Optimization - Least-Life Cycle Impact Assessment Scores Scenarios": 3 scenarios, each optimising for one cumulative LCIA scores of the 3 impact categories in focus under "same boundary conditions in terms of technology availability, potentials, and energy demand as used in the cost-optimized climate scenario" 
- all with BAU BG database
- "We do not assign an LCA indicator to each STEM process. Therefore, ifwe optimize purely for an LCIA indicator, this leads to the random deployment of the technologies without a score. For this reason, we use a factor to conserve a cost element within the objective function, which acts as a boundary to avoid violating the logic of the model initially built for cost optimization."
(3) "Multi-objective Optimization - Least-LCIA Scores Scenarios with Constraints Based on the Single-objective Optimal Value": 4 scenarios, 3 for optimising for the cumulative LCIA scores as above under cost constraint ("maximum total cost based on the optimal value achieved using the cost-optimized climate scenario") and 1 optimising for climate change under the same cost constraint and additionally constraint for metal depletion ("minimum scores obtained in the corresponding single-objective environmental optimization")
- all with BAU BG database
(4) "Scenarios Evaluating the Influence of External Drivers": 5 scenarios changing specific parameters
- "cost-optimized climate scenario, without additional investments on energy storage": same as "cost-optimized climate scenario" in group 1, but without additional investments in storage
- "least climate change scneario, without DAC and CCS technologies": same as scenario optimising for climate change in group 2, but without DAC and CCS
- "cost-optimized climate scenario, with climate background LCI database": same as "cost-optimized climate scenario" in group 1, but with climate BG database
- "least climate change scneario, with climate background LCI database": same as scenario optimising for climate change in group 2, but with climate BG database
- "cost-optimized climate scenario, with climate background LCI database and least climate change value": optimising for cost with constraints on climate change similar to group 3 and climate BG database
2 BG scenarios: BAU and climate (see field 'Prospective aspects' BG)
(1) "business-as-usual (BAU)": 
- EUSTEM: electricity demand from "EU reference 2016 scenario" and "Business as usual scenario of the Swiss Energy Strategy"; constrained by "phase out of nuclear and ‘existing’ coal power plants" in the relevant countires, "2020 targets for the integration of renewable energy sources and the reduction of CO2 emissions in the European trading scheme characterized by the CO2 price defined IEA’s current policy scenario " 
- GMM: "Hard rock scenario" of World Energy Council 2016
(2) "world acting on climate change’ scenario (climate)": 
- EUSTEM: BAU (as above) + "95% CO2 emissions reduction across the whole EU electricity system by 2050 in comparison to 1990 levels"
- GMM: "Unfinished Symphony scenario" of World Energy Council 2016</t>
  </si>
  <si>
    <t xml:space="preserve">8 scenarios: evaluate 4 variables (ore grade, primary market shares, secondary market shares and energy transition), in 9 combinations for 2 demand scenarios
2 demand scenarios: see field 'Prospective variables &amp; source' for translation into demand
- SSP2 “business as usual” : "a scenario that is considered a likely pathway in terms of difficulty in mitigating and adapting to climate change."
- SSP2-450 “sustainable development”: "assumes a successful reduction in emissions to limit global warming to 2◦C by the end of the century."
9 variable combinations: 
"1. Ore grade: Variable 1 only
2. Primary market shares: Variable 2 only
3. Market shares of primary and secondary production: Variables 2 and 3
4. All but the energy transition: Variables 1–3
5. The energy transition: Variable 4 only
6. Ore grade + energy: Variable 1 and 4
7. Primary market shares + energy: Variable 2 and 4
8. Market shares of primary and secondary production + energy: Variables 2, 3 and 4
9. All Variables (1–4)"
</t>
  </si>
  <si>
    <t>5 scenarios: combination of 33 parameters and the BG premise scenario; for all parameters a low, medium and high ambition trajectory is defined (fixed values for 2030, 2040 and 2050 and linear interpolation in between; see SI) and scenarios consist of a different combination of those (see figure 3); all scenarios have the same population development assumption
- State of policies (POL): "Austrian Environment Agency’s “With existing measures” scenario", "surrounding parameters are assumed to follow previous trends"; SSP2-NPi
- Technology (TECH): "Society relies on technological progress to overcome environmental challenges without significantly changing lifestyles"; SSP2-PkBudg1150
- Sufficiency (SUF): "Significant societal changes lead to increased sufficiency"; SSP2-NDC
- Moderate (MOD): "mix of efficiency and sufficiency"; SSP2-NDC
- Ambitious (AMB): "all actors maximise their mitigation efforts in each decade to pursue the maximum achievable mitigation potential"; SSP2-PkBudg500
33 parameters in 10 groups: 
- space demand reduction: Average living area per capita, Share of new single-family houses, Decreased demand for commercial buildings (office, trade)
- vacancy reduction: Use of empty dwellings or units, Use of secondary dwellings
- renovation rate: Thermal renovation rate (weighted average of light, medium or deep package), Type of thermal renovation (% of deep refurbishment), Non thermal renovation rate (replacement rate), Reference service life of heating systems, Share of upgraded heating systems
- energy demand reduction: Share of passive house buildings, Decrease in personal heating consumption
- renewable energy supply: Share of renewable electricity (in production mix), Share of renewable energy (incl. waste) in district heating
- design and material optimisation: Share of material use optimisation in design (concrete and steel), Share of new buildings without basement, Share of new timber buildings, Reduction of synthetic insulation
- material production improvement: Share of clinker in cement, Share of alternative binders, Share of alternative fuels in clinker production (incl. waste and efficiency improvement), Process emissions mitigated by CCS/CCU (clinker production), Share of electrified production (brick production), Process emissions mitigated by CCS/CCU (brick production), Share of scrap steel (non reinforcing steel)
- transport and construction improvement: Reduction in transportation distances, Vehicle energy efficiency improvements, Share of alternative fuels in construction machinery, Construction machine optimisation
- waste prevention: Share of repurposed buildings, Reduction in construction waste
- waste recovery: Recycling rate (wood, gypsum, insulation), Reuse rate (concrete and steel)</t>
  </si>
  <si>
    <t xml:space="preserve">3 scenarios: 
(1) "current technological trajectory": "future technology uptake is assumed to follow current technological diffusion trajectories in each sector"
- includes existing policies, implicitly ("given that they already had a measurable impact on empirically observed technology uptake in our historic datasets") and explicitly for the power sector
- excludes not yet implemented ones (e.g. announces phase-outs)
- modelled based on simulation model on the decision-making by investors and consumers until 2050 (the coupled model)
- also assume gradual increase of insulation efficiency of buildings
(2) "2 °C policy scenario": impose "sector-specific policies to achieve a projected trajectory of global emissions that is consistent with a 75% probability of not exceeding 2 °C of global warming by the end of the century", implemented in or after 2020
- policies incentivise (e.g. subsidies or feed-in tariffs), disincentivize (e.g. carbon taxes) or regulate the use of fossil fuel technologies (e.g. efficiency standards or a phase-out of coal power plants)
(3) "end-use without power policies": full set of policies from sceario 2 to transport and heating, but other sectors follow scenario 1
</t>
  </si>
  <si>
    <t>10 scenarios: combining
5 cicular strategies (FG): 
- Reference: continuation of current practice
- Lifetime extension: extension to average of 45 years
- Wood construction: 50% of new urban residential buildings wood-based by 2030 (changing material intensities)
- Floorspace reduction: reduction of per-capita floorspace by 10% compared to reference scenario
- All Circular strategies combined
with 2 MESSAGEix-GLOBIOM scenarios (use for parameters in the FG and premise BG): 
- NPi: "Continuation of current national policies (NPi) and realization of Nationally Determined Contributions (NDC)"
-- energy efficiency improvements and heating system change in existing buildings only when renovating
- 1.5C: "Climate policies according to 1.5◦C targets"
-- "renovation rates for residential buildings are bounded to minimum levels of 1.5%/yr by 2025 and fuel switches to electricity to a minimum of 5%/yr."
-- energy efficiency improvements and heating system change in existing buildings always possible
important: "We assume that climate policies do not change the demand and stock of construction materials considered in this study."</t>
  </si>
  <si>
    <t>8 scenarios: 1 baseline (continuation of past trends and moderate climate mitigation), 4 scenarios focussed on the effects of HWP growth, 3 focussed on climate change mitigation: 
1) Baseline: 0.2%; espressivo; high-impact concrete phased out by 2040; 0,4%
2) HWP moderate - energy optimistic: 1%; vivace; same as baseline; same as baseline
3) HWP moderate - energy pessimistic: 1%; forte; same as baseline; same as baseline
4) HWP optimist - energy optimistic: 2%; vivace; same as baseline; same as baseline
5) HWP optimist - energy pessimistic: 2%; forte ; same as baseline; same as baseline 
6) climate optimistic (high mitigation): 1%; vivace; phased out by 2035, 1%
7) climate pessimistic (low mitigation): 0.1%; forte; phased out by 2050, 0.4%
8) climate stricted (maximum mitigation): 2%; phased out by 2030, 1%
all scenarios are a combination of 4 variables:
A: growth rate of share of new HFA build in timber typologies
B: Change in energy supplt (espressivo, vivace, forte or legato (see "prospective variables" in the BG))
C: growth rate of share of new HFA built in low-impact concrete
D: share of new HFA built in 1-2 family dwellings</t>
  </si>
  <si>
    <t>3 FG scenarios consisting amount of installations, module cost (learning curve based) and assumed development of operational parameters, linearly interpolated between 2020 (0.5 years lifespan, 10% PV power conversion efficiency, 4%/yr degradation rate) and assumed 2060 values; the module cost are used to determine the market share of pervoskite (see field 'Prospective variables'), resulting in different amount of installations for f-BIPV (not an input, but output!)
- Optimistic: 35% module cost of 2020 in 2060; 30 years lifespan, 25% PV power conversion efficiency, 0.5%/yr degradation rate
- Realistic: 39% module cost of 2020 in 2060; 20 years lifespan, 20% PV power conversion efficiency, 1.5%/yr degradation rate
- Pessimistic: 43% module cost of 2020 in 2060; 10 years lifespan, 15% PV power conversion efficiency, 3%/yr degradation rate</t>
  </si>
  <si>
    <t>5 scenarios: see table 2
- Reference: Business as usual market development, business as usual political governance of the environment
- Global sustainability: Globalization market development, strong governance of the environment
- Global markets:  Globalization market development, weak political governance of the environment
- Regional marets: Regionalization market development, weak political governance of the environment
- European sustainability: Regionalization market development, strong political governance of the environment
scenario parameters: 
- into EMEC: GDP, commodity prices, world trade, employment, waste intensities, carbon permit price; how these were derived is not disclosed (except for the waste intensities, see field 'Prospective variables' in the FG)
- into NatWaste: policy instruments (taxes, feeds and tradable permits, bans), in the study here only the VAT
- into SWEA: BG electricity and heat generation; how these were derived is not disclosed (see field 'Prospective variables' in the BG)</t>
  </si>
  <si>
    <t>3 scenarios: combination of EV market share, allocation of manufacturing countries and electricity mix for manufacturing countries (see table 2)
- "no e-mobility": "no additional EVs entering the market from 2021 to 2040"; allocation of manufacturing countries follows historical import statistics from ACEA; electricity mix follows "stated policies scenario" from the IEA Energy outlook 2020
- "stated transition": implementation of the policy targets assumed (see table 1); for ICEVs and HEVs same manufacturing countries as in historical import statistics, for EVs annual production increase of 1% within the EU; electricity mix follows "stated policies scenario" from the IEA Energy outlook 2020
- "ambitious transition": 100% EV sales share by end of 2030; for ICEVs and HEVs same manufacturing countries as in historical import statistics, for EVs annual production increase of 1% within the EU; electricity mix follows "sustainable development scenario" from the IEA Energy outlook 2020</t>
  </si>
  <si>
    <t>7 main scenarios (+ 15 sensitivity scenarios): SSP1_Base, SSP2_Base, LEMD_Base, SSP1_FullICE, SSP2_FullICE, LEMD_FullCE, SSP2_FullCE_Wood; all with RCP2.6; combination of SSP (determining demand), RCP (determining energy supply and material production, see field 'Prospective variables' in the BG) and CE strategies ("assumed to be ramped up to its currently identified technical potential (Table 2) by 2035")
7 CE strategies: 
- _Base: "Current design, manufacturing, lifetime, and recycling practices"
- _Light: implemented through changing building archetype for future buildings (see field 'Technological variants')
- _Slow: lifetime extension ("lifetime of the efficient and zero energy buildings is extended by up to 90% of the base value") &amp; fabrication yield improvements ("5% yield loss during construction for steel, 3% (down to 1.5%) for concrete, and 10% for timber.") 
- _Close: recovery rate improvements ("Steel from currently 85% to 95%. Concrete currently 0% to up to 25% for recycling into aggregates. (...) Share of construction wood that is cascaded into material application for another 30 year increases from 15% to 30% for some and from 0% t0 15% for the remaining countries.") and Re-use ("Up to 14% of wood andwood products, 27% of concrete elements, and 29% of steel components.")
- _FullICE: _Light, _Slow and _Close combined
- _ Wood: implemented through changing building archetype for future buildings (see field 'Technological variants')
15 sensitivity scenarios (not appearing in manuscript plots, but are other than that the same)
- RCP2.6: SSP2_Light, SSP2_Slow, SSP2_Slow Close, SSP2_Wood, LEMD_Light, LEMD_FullCE Wood
- no climate policy: SSP1 Fossil, SSP1 Fossil Full CE, SSP2 Fossil, SSP2 Fossil Full CE, SSP2 Fossil Wood, SSP2 Fossil Full CE Wood, LEMD Fossil, LEMD Fossil Ful lCE, LEMD Fossil Wood</t>
  </si>
  <si>
    <t>9 scenarios: "The first five scenarios explore the implications of the current trajectory of the market as well as the effects of detergent, the energy transition, and washing machine improvements. These scenarios are: Baseline (BL), Halving Detergent Use (HD), Energy Transition (ET), and Energy Transition with Halving Detergent Use (ETHD), and ETHD with washing machine improvements (HDET + ). The last four scenarios explore the additional effects of the slow and fast adoption of circular business models CBM-PPW and CBM-PLE, which we named circular transitions: CT-PPW and CT-PLE, each with one fast diffusion and one slow diffusion variant of the circular business models, noted with the suffixes f for fast diffusion and s for slow diffusion."</t>
  </si>
  <si>
    <t>6 main scenarios: different cathod market shares, yes or no recycling (only direct considered in the main scenarios), all with the same electricity supply (battery production in the US and US grid mix linearly decreasing from 372gCO2e/kwh in 2020 to 274 gCO2e/kWh in 2050) and all assuming a "a linear increase in BEV300 sales from 2020 to 2035 to reach 100% of the LDV sales market in 2035"
- no change (reference): no recycling; constant cathod market share (71% NMC622, 25% NCA, 4% LFP)
- LFP dominant: no recycling; LFP market share linear increase to 60% share from 2020 to 2030, then constant
- NMC dominant: no recycling; NMC811 linear increase of market share to 50% in 2050
- direct: direct recycling for spent batteries with 90% recovery rate for recoverable battery parts; constant cathod market share ("Direct recycling is the only technique considered in the main scenarios as it is the only one that recovers LFP metals, as well as has the lowest cost, GHG emissions, energy and water consumption.")
- LFP + direct
- NMC + direct
each one also applied to an alternate future with PHEVs instead of BEVs
define 2 "sensitivity scenarios": 
- recycling technologies: pyro- and hydrometallurgical recycling adopted
- electricity grid: base grid projections in China from 2020 to 2050, US grid mix linearly towards 100% renewables in 2050 (both only applied to the battery manufacturing, not the electricity consumption changes in the use phase)</t>
  </si>
  <si>
    <t>8 scenarios: combining
4 scenarios based on emission / fuel efficiency standards, changing the LCA characterisation result factors accordingly, assuming that this will be achieved: 
- current CAFC standard: fuel efficiency standard (only considering emissions in the use phase); 2025 4.7 L/100 km, 2030 3.2 L/100 km and 2035 2 L/100 km
- WTW standard: "switch the current CAFC standard to the WTW standard", "Following the same decrease rate of the CAFC target through 2035" -&gt; 146 gCO2-eq/km in 2025, 100 gCO2-eq/km in 2030, and 62 gCO2-eq/km in 2035
- low carbon vehicle production (LCVP) standard: linear increase of secondary mateiral share in vehicles and batteries to 2035 target; steel (40%), aluminium (25%), copper (40%), thermoplastics (25%), cobalt (15%), lithium (12%), and nickel (15%)
- low carbon fuel standard (LCF): "regulate the WTW gasoline GHG emissions intensity with annual decrease rates" - shown for 0.5%, 1%, and 1.5%"
2 BG scenarios for the electricity supply: SDS and STEPS
additional scenarios to evaluate the importance of the starting year (2021, 2023, 2025, or 2027) with the same peak year: "Three LCA-based standard scenarios are evaluated: WTW standard only, WTW in conjunction with LCVP standard, and a final compound regulatory scenario that integrates WTW, LCVP, and LCF standards together. The LCF standard is set to regulate the gasoline GHG emissions intensity with a 1% annual reduction, referring to California’s Low Carbon Fuel Standard."
- these are not included in the number of scenarios by us</t>
  </si>
  <si>
    <t>104 scenarios: combining
4 “net-zero pathways” from Zibunas et al. 2022 ("The net-zero pathways differ in available technologies, thus also referred to as technology pathways. The pathways are the same as in our previous study (Zibunas et al., 2022) to ensure consistent assessments.")
"foresights between 5 and 30 years, creating 104 (=4 × 26) individual scenarios"</t>
  </si>
  <si>
    <t>10 scenarios: derived by harmonising re-modelling scenarios from the literature (see table 1) to include the same boundary assumptions (see below), keeping the "market shares for all relevant technologies in the final energy and conversion sectors" from the original studies (e.g. "market shares of different propulsion technologies in passenger cars")
- 5 scenarios with 80% reduction of direct CO2 emissions of the energy system until 2050 and 5 with 100%
boundary conditions for re-modelled scenarios: 
"• Database with techno-economic characterization of energy and transport technologies (efficiencies, COP, power-to-heat ratios, invest &amp; O&amp;M costs, technical lifetime, …)
• Socio-economic drivers (GDP, population) (taken from [7]
• Energy Intensities allow the calculation of useful energy demand for different applications (like space heat or process heat) in the different sectors as well transport services. (intensities: e.g. useful space heat demand per living space, useful process heat demand per gross value added) (based on [7]"</t>
  </si>
  <si>
    <t>1800 scnearios: combining
60 FG scenarios (see figures 3 and 13): combination of 
- 2 "different qualities of combustible waste": "(1) one with a higher presence of biodegradable organic materials and lower energy content (lower heating value (LHV) around 12 MJ/kg), and (2) one with a low presence of organic materials and higher energy content (LHV around 16 MJ/kg)"
- 5 "avoided waste management alternatives in the exporting country": sanitary landfill, sanitary landfill with "C-storage", engineered landfill, engineered landfill with "C-storage", inineration electricity only
- 2 transport modes: road or ship
- 3 transport distances: 500, 1000 and 2000 km
30 BG scenarios (see figures 3 and 13): 
- 2 scenarios for "Background energy systems affected by importing residual waste": 
-- other countries: "Nordic Carbon Neutral scenario (CNS) for Norway, Sweden and Finland; presented in the Nordic Energy Technology Perspectives (Norden and IEA, 2016), and for Germany, a 2-degree scenario (Morris and Pehnt, 2015)."
-- Denmark (based on previous work of the authors (Pizarro-Alonso et al. (2018)) and modelled with coupled model Balmorel): LowElec ("the decarbonization of the transport sector implies a higher consumption of biofuels") vs HighElec ("higher electrification of the transport sector and hydrogen consumption for biogas, boosting biomethane production, and syngas upgrading"); both based on Danish decarbonisation targets
- 5 scenarios for "Background energy systems affected by exporting residual waste" (also called "electricity marginals from the exporting country" by the authors): 
-- 3 with one generation technology replaced only: "coal power plant, natural gas combined cycle gas turbine, and a carbon-neutral technology (e.g. wind)"
-- 2 with energy mixes replaced: " 2-degree (2DS) and 4-degree (4DS) scenarios from the Energy Technology Perspective 2016 (IEA, 2016)"; both also affected by the biomass marginal (see below and table 2)
- 3 scenarios for "biomass marginal" (based on literature, relevant to identify what is substituted): 
-- "Climate ideal marginal on low demand (CILD)": "supply in a relatively low global demand for bioenergy (below biomass marginal 60 EJ/a) scenario"
-- "Climate ideal marginal on high demand (CIHD)": "biomass marginal supply in a high global demand (&gt;60 EJ/a) scenario for future use of biomass for energy."
-- "Mixed marginal on high demand (MMHD)": "biomass marginalsupply in a high demand scenario, considering imperfect land governance and other conditions that would bring biomass sources with higher climate impacts into the marginal supply"</t>
  </si>
  <si>
    <t>3 scenarios: 
- 'REF: "projection of transport demand, supply, energy use and emissions as if there were no changes to transport and energy policy beyond March 2015" &amp; "vehicle and consumer segments being kept constant" at 2011 shares
- 2 policy scenarios: "This involved an iterative process starting with defining ‘pathway targets’, i.e. specific PIV market share targets for key years (2020, 2030, 2050). The UKTCM was then used to model how PIV market shares, total PIV car fleet, and resulting direct and life cycle energy and emissions would change under a set of policy and investment interventions (or measures) designed to promote uptake. The measures included in this set addressed the barriers discussed above and included supply-side measures (model/brand supply, charging infrastructure) and demand-side measures (consumer awareness and acceptance, pricing). Most external influences (such as fuel price and retail electricity price projections) were left as in the REF case."
-- EV1: only supply side measures
-- EV2: supply- and demand-side measures
Note: 
- what parameters are changed for the two scenarios is not disclosed by the authors (see section 2.3.2)
- the scenarios could be read as normative "Based on analysis by the Committee on Climate Change (CCC) to cost-effectively meet the economy wide targets (CCC, 2013, 2015), the central pathway targets for 2020 and 2030 were assumed to be 9% and 60%, respectively.", but as shown in the results figures (e.g. Fig 6) the targets are not used as constraints</t>
  </si>
  <si>
    <t>2 scenarios: 
- BAU: "series of objectives such as 20% renewable energy from final energy consumption and a maximum emission of 258.4 Mt of CO2 by 2020, and SO2 and NOX emission ceilings up to 746 and 847 kt respectively from 2015 to 2035"; "constant nuclear power capacity installed until 2035 considering that the current power plants will be allowed to extend their lifetimes beyond the 40 or even 50-years-period"
- Ambitious: "GHG emission reductions considered are 21% in 2020 and 30% in 2030 compared to 2005 emissions. The objectives for non-Emission Trading System (ETS) emissions considered in this work are to reach a reduction of 10% by 2020 and 20% by 2030, also compared to 2005"; "Renewable energy contribution to final energy is set at 20% in 2020 and 27% in 2030. An energy efficiency improvement has been forced through a reduction of 20% and 27% of primary energy consumption in 2020 and 2030 respectively compared to the primary energy consumption of the BAU scenario."; "minimum target of 10% of electricity interconnections (percentage over installed capacity) in the case of some countries (including Spain) by 2020 is set, which implies achieving the 15% target by 2030"; no lifetime extension for existing nuclear power plants</t>
  </si>
  <si>
    <t>Terminology - System scale</t>
  </si>
  <si>
    <t>Geographical scope</t>
  </si>
  <si>
    <t>Temporal scope</t>
  </si>
  <si>
    <t>Sensitivity analysis variables</t>
  </si>
  <si>
    <t>considered (differentiate upstream and EoL and distribute them over time through the coupled model; use phase not included)</t>
  </si>
  <si>
    <t>not considered (assume all life cycle stages to happen at the same time)</t>
  </si>
  <si>
    <t>not considered (include only upstream)</t>
  </si>
  <si>
    <t>not considered (include only EoL)</t>
  </si>
  <si>
    <t>not considered (assume upstream and use to happen at the same time; EoL not included)</t>
  </si>
  <si>
    <t>"consider the evolutions in operation, infrastructure of the energy technologies, and their upstream life cycles"</t>
  </si>
  <si>
    <t>not defined, EoL is never mentioned (see for example table 3), therefore we assume cradle-to-use</t>
  </si>
  <si>
    <t>considered (differentiate upstream and use phase and distribute them over time through the coupled model; EoL not included)</t>
  </si>
  <si>
    <t>it is not fully clear to us what the authors mean with "cradle-to-product, including the waste management stream but disregarding the end-of-life phase of infrastructure. Therefore, we decided to consider the emissions within these life cycle boundaries."; we assume that it is cradle-to-use</t>
  </si>
  <si>
    <t>not considered (assume upstream and EoL happen at the same time; use phase not included)</t>
  </si>
  <si>
    <t>considered (differentiate life cycle stages and distribute them over time through simple lifetime assumptions)</t>
  </si>
  <si>
    <t>Stock-driven DSM of cars with stock derived from tkm and pkm demand exogenously determined (in contrast to the application in Brand et al. 2012) based on government projections 
• market shares of vehicle types: discrete choice model based on cost of ownership and non-cost factors</t>
  </si>
  <si>
    <t>Stock-driven DSM of cars with stock derived from tkm and pkm demand from econometric model based on GDP projection (historic average), projection for number of households, demand elasticities (historic averages) and cost of ownership 
• market shares of vehicle types: discrete choice model based on cost of ownership and non-cost factors as well as consumer attributes</t>
  </si>
  <si>
    <t>Stock-driven DSM of vehicles with stock derived from tkm and pkm demand in different demand segments using different approaches 
• passenger demand: simulated based on "as a function of key travel indicators structured around data obtained from the UK National Travel Survey" 
• international air travel: "function of income (GDP/capita), population and supply and policy costs" 
• freight demand: "simulated as a function economic activity (GDP/capita) and population, with reference demand elasticities taken from a RAND Europe study" 
• market shares of vehicle types within each demand segment: discrete choice model based on cost of ownership and non-cost factors as well as consumer attributes</t>
  </si>
  <si>
    <t>Stock-driven DSM of cars with stock derived from population and car ownership rate scenarios 
• vehicle type shares: based on IEA scenario</t>
  </si>
  <si>
    <t>Stock-driven dMFA of batteries with stock derived from existing global dMFA from the literature, who use IEA projections for EV stock and a logistic model to extrapolate that further in time and optimisation model (minimising net life cycle GHGs from 2020 to 2050) 
• market shares of the battery types, amount of batteries manufactured in Europe, secondary materials share: based on mixed integer linear programming optimisation model</t>
  </si>
  <si>
    <t>Stock-driven DSM with stock derived from historic relationship of stocks, GDP and population and projections of GDP (SSP database) and population development (Eurostat) 
• market shares: logistic curve based on assumptions for 2020 (12.4% of new sales), 2022 (24.5% of new sales) and 2035 (100% of new sales)</t>
  </si>
  <si>
    <t>Stock-driven DSM of washing machines with stock derived from number of households (government projection) and penetration rate of washing machines (for 4 years based on market research survey, linearly interpolated, after 2017 to 2050 assumed constant) 
• market shares of washing machine business model: Bass model (sales growth model)</t>
  </si>
  <si>
    <t>Stock-driven dMFA with stock derived from population trajectory (SSP2 projection from literature) and per capita material stocks for a specific end-use sector 
• per capita material stocks: simulated with provence specific modified Gompertz function (S-shaped curve), based on per-capital material stocks in 2018, change in per-capita material stocks in 2018 and assumed saturation levels derived from literature that they converge on</t>
  </si>
  <si>
    <t>Stock-driven dMFA of copper with stock derived from product group-specific copper contents and future demand projections from various reports</t>
  </si>
  <si>
    <t>Stock-driven dMFA of aluminium with stock derived from SSP2 (previous work of the authors)</t>
  </si>
  <si>
    <t>Stock-driven DSM of wind turbines with stock derived from government objectives for total installation</t>
  </si>
  <si>
    <t>Stock-driven DSM of buildings with stock derived from population size projections (government projections) and decline rate for Heated Floor Area per capita (0.22%, based on development of population growth and new built HFA in the past 20 years in Sweden)</t>
  </si>
  <si>
    <t>Stock-driven dMFA of buildings archetypes with stock derived from population projection and floor area per capita (assumed constant at 83 m2) 
• share of building types: based on GIS data and constant</t>
  </si>
  <si>
    <t>Stock-driven dMFA of buildings with stock derived from region-specific m2/capita scenarios based on SSP1, SS2 and a LEMD scenario from literature
• building type split and their energy carrier split: based on IEA World energy outlook, specific for baseline and RCP2.6</t>
  </si>
  <si>
    <t>Stock-driven dMFA of buildings with stock derived from population projection and per-capita floor area (all from literature)</t>
  </si>
  <si>
    <t>Stock-driven dMFA of buildings with stock derived from population development (SSP database), household size (residential only, UN data), per-capita floorspace (based on previous work of the authors for residential and logistic function with saturation for commercial considering GDP, growth parameter, ...) 
• share of building types: previous work of the authors 
• energy during use phase: from 'CHILLED' energy demand model</t>
  </si>
  <si>
    <t>Stock-driven dMFA of buildings archetypes derived from population development in IAM (IMAGE), population share by building type (from literature) and floor area per capita (scenario parameters, from previous study and IMAGE, modelled by cubic spline interpolation based on given values)</t>
  </si>
  <si>
    <t>Stock-driven dMFA of cars with stock derived from assumed annual growth rate for historical stock 
• segment shares: assumed constant</t>
  </si>
  <si>
    <t>Inflow-driven DSM of cars with inflows derived from government report 
• market shares of vehicle type: scenario-dependent based on 2035 goal and linear interpolation 
• vehicle kilometers travelled: age-specific distributions of annual vehicle kilometers traveled (from literature) and growth rates (also literature based)</t>
  </si>
  <si>
    <t>Stock-driven DSM of cars with stock derived from total distance travelled each year based on government forecasts and assumed annual mileage for EVs, ICEVs and Transport-as-a-service 
• battery technology shares: assume that NMC LIBs remain dominating until 2050 
• EV share: scenario dependent assumption with assumed value in 2050 and linear interpolation in between</t>
  </si>
  <si>
    <t>Stock-driven DSM of cars with stock derived from government report 
• market shares of vehicle type: based on assumed 2035 goal and linear interpolation 
• market shares for cathode technologies: scenario-dependent assumptions based on literature and IEA report 
• vehicle kilometers travelled: age-specific distributions of annual vehicle kilometers traveled (from literature) and growth rates (also literature based)</t>
  </si>
  <si>
    <t>Stock-driven DSM of mobile air conditioning systems in cars with stock derived from literature (uses Gompertz function and per-capita GDP projection) 
• EV penetration rate: industry roadmap 
• market share of refrigerants: assuming 100% adoption rate for new vehicles of different refrigerant by scenarios</t>
  </si>
  <si>
    <t>Stock-driven dMFA of cars with stock derived from assumed using vehicle-to-population ratio and population scenario from SSP2 
• market-shares of vehicle types: scenario-parameter based on policy target, assumptions and IEA scenarios</t>
  </si>
  <si>
    <t>Stock-driven DSM of cars with stock derived from on vehicle ownership saturation model based on population projection, saturation level (350 vehicles per thousand people assumed from literature), GDP per capita and two fitting parameters based on historical data 
• market shares of vehicle technologies: based on industry roadmaps and linear interpolation</t>
  </si>
  <si>
    <t>Stock-driven DSM of cars with stock projections derived differently for each country: government report (for the US); population, GDP and saturation level (China); population and projected ownership rate (UK) 
• market shares of powertrains: scenario-based assumptions for goals in target years and linear interpolation in between 
• vehicle kilometers traveled: adopted from literature (US and China); based on literature (survey), fixed value (UK)</t>
  </si>
  <si>
    <t>Inflow-driven dMFA of cobalt with inflows derived from Deetman et al. (2018), who modelled demand for the IMAGE IAM SSP implementations 
• secondary supply potential: estimated using a dMFA based on demand estimated (see bulletpoint above), lifetimes and recycling rates from literature</t>
  </si>
  <si>
    <t>Stock-driven dMFA of electricity sector with stock derived from multiple IAM scenarios (Integrated Assessment Modelling Consortium (IAMC) database) and households with access to electricity (population projection, average household sizes linearly extrapolated, share with access to electricity assumed to linearly increase to 100% in 2050)</t>
  </si>
  <si>
    <t>demand for residential space and water heating from IAM (IMAGE) and for transport from coupled model IAM (E3ME-FTT-GENIE), which relies on fuel prices and income and elasticities
- market shares: from coupled IAM, relying on a vintage stock model and a discret choice model considering multiple agents</t>
  </si>
  <si>
    <t>demand from coupled IAM (REMIND) using energy demand for road transport and dividing it by energy efficiencies (energy per km)</t>
  </si>
  <si>
    <t>demand from coupled IAM (REMIND), manually adjusted for one low-demand scenario</t>
  </si>
  <si>
    <t>production volume, region shares and market shares from coupled IAM (IMAGE)</t>
  </si>
  <si>
    <t>calculate coefficients for embodied energy use for power generation technologies based on THEMIS (see Arvesen et al. 2018) and integrate them through the REMIND-MagPIE engogenous emission factors and carbon price assumptions into REMIND so that it changes the technology choices made by the model</t>
  </si>
  <si>
    <t>activity levels (capacity editions and power generation) by electricity generation technology in each region from average of 5 IAMs (GCAM, IMAGE, MESSAGE-GLOBIOM, POLES and REMIND)
- Market shares of technologies: based on costs, but also restricted by regional resource availability and scenario-based restrictions of availability
- each impact category modelled with specific tools, land use for example directly from MagPIE</t>
  </si>
  <si>
    <t>fixed demand with market shares for technologies determined through linear optimisation of each year individually (no perfect foresight)</t>
  </si>
  <si>
    <t>assume constant annual growth rate for for the production volume of chemicals in scope based on literature
- market shares of technologies based on linear optimisation for cost with DFSM constraining the investment decisions (myopic decision marking explicitly modelled) and assumed time of availability for the technologies</t>
  </si>
  <si>
    <t>installed battery capacities from IEA scenario
- battery technology market shares: literature-based scenarios</t>
  </si>
  <si>
    <t>quantity of to Denmark imported waste (fixed assumption for annual volume) and ESM (Balmorel + OptiFlow) determining the consequences (changing district heating and electricity production) -&gt; providing electricity generation by technology</t>
  </si>
  <si>
    <t>heating demand based on based on government climate strategy and electricity demand based on report from French transmission system operator
- market shares: same sources</t>
  </si>
  <si>
    <t>plastic demand assuming annual rate of increase from 2015 values (2% or 4% depending on scenario)
- market shares of fossil fuel, corn or sugarcane: assume 100% for each in 2050 in one scenario and linear growth to it
- market shares within these: based on statista data</t>
  </si>
  <si>
    <t>demand scenarios for flown kilometers based on specific assumed annual growth rates
- technology market shares: scenario-assumptions</t>
  </si>
  <si>
    <t>constant production volume assumption (500 Mt/yr), leaning (but not based on) IEA scenario
- process route market shares: scenario-based assumptions, constant over time</t>
  </si>
  <si>
    <t>demand for construction materials, forecasted in previous study using new square meters demand by building typology extrapolating historical trends
- material composition from literature and partially changed for scenarios</t>
  </si>
  <si>
    <t>production volumes of aluminium from the IAI global alucycle database</t>
  </si>
  <si>
    <t>gross traffic volume (in pkm for passenger transport and tkm for freight transport) derived from IEA report and passenger transport volume "estimated based on population growth" (WorldBank projections)
- Market share of vehicle types: based on 
-- share of transport mode: IEA scenario
-- powertrain-share within each transport mode: scenario-based assumptions leaning on IEA reports
-- share of LDV and HDV (relevant for the calculation of direct emissions, see below): based on literature</t>
  </si>
  <si>
    <t>activity level, grid extension and storage capacities by technology from the coupled ESM (REMix)
- market shares of renewables: scenario input</t>
  </si>
  <si>
    <t>activity level and capacity additions by technology from the coupled ESM (JRC-EU-TIMES)</t>
  </si>
  <si>
    <t>activity level by technology from the coupled ESM (STEM)
- market shares of sub-technologies within each technology: literature assumptions, changing over time</t>
  </si>
  <si>
    <t>activity level by technology from the coupled ESM (Times-Spain)</t>
  </si>
  <si>
    <t>activity level by technology from the coupled ESM (SMM)</t>
  </si>
  <si>
    <t xml:space="preserve">activity level by technology from the coupled ESM (ISAaR)
</t>
  </si>
  <si>
    <t>production volume for ammonia by process route from IEA scenario, linear interpolation between given years</t>
  </si>
  <si>
    <t xml:space="preserve">activity level and installed capacity by technology from IEA scenarios
- market shares of sub-technologies within each technology: estimated based on expert judgement and technology roadmaps
- installed capacities in between the years given in the IEA scenarios derived from DSM
</t>
  </si>
  <si>
    <t>production volume of ammonia from IEA scenario and for methanol from IRENA scenario
- market shares of process routes: based on assumptions; 100% fossil fuels vs 50% wind / 50% solar process routes</t>
  </si>
  <si>
    <t>hydrogen production volume for transport derived from assumed penetration of FCEV, annual mileage and fleet composition (all constant over time)
- market shares of process routes: coupled ESM (LEAP-OSeMOSYS and OSeMOSYS)</t>
  </si>
  <si>
    <t>production volume of hydrogen from IEA scenario
- market shares of process routes: from same IEA scenario</t>
  </si>
  <si>
    <t>activity level by technology from the coupled ESM (ELTRAMOD)
- market shares of sub-technologies within each technology: based on expert elicitation</t>
  </si>
  <si>
    <t>2 parts: 
- for car production and electricity demand stock-driven DSM with stock assumed to linearly increase based on government report and observed historical trends and annual mileage based on government report
-- market shares of vehicle types in inflows: assumption of one dominant EBM powertrain per scenario fullfilling the legal CO2 requirements for the fleet 
-- annual mileage: based on linear interpolation, government report and assumed growth rates; differs by period
- additional electricity demand from cars is then together with base electricity demand from Prognos scenario fed into the ESM (EUSTEM) and mixed-integer-linear-programming tool (oemof)</t>
  </si>
  <si>
    <t>System of analysis</t>
  </si>
  <si>
    <t>buildings</t>
  </si>
  <si>
    <t>transport / buildings</t>
  </si>
  <si>
    <t>"1 kg ammonia"</t>
  </si>
  <si>
    <t>"funconal unit is ´1 km driven by car´"</t>
  </si>
  <si>
    <t xml:space="preserve">"the transport of a passenger over one kilometer" </t>
  </si>
  <si>
    <t>SD-LCA</t>
  </si>
  <si>
    <t>Variables</t>
  </si>
  <si>
    <t>This sheet provides a list of all reviewed articles along with the evaluations of each study across all review variables. All remarks (e.g., ‘see Table 2’) refer to the reviewed studies, not our manuscript.</t>
  </si>
  <si>
    <t>Sheet name</t>
  </si>
  <si>
    <t>Description</t>
  </si>
  <si>
    <r>
      <t>2013 to 2050 (scenarios)</t>
    </r>
    <r>
      <rPr>
        <b/>
        <sz val="10"/>
        <color theme="1"/>
        <rFont val="Georgia"/>
        <family val="1"/>
      </rPr>
      <t xml:space="preserve">; </t>
    </r>
    <r>
      <rPr>
        <sz val="10"/>
        <color theme="1"/>
        <rFont val="Georgia"/>
        <family val="1"/>
      </rPr>
      <t>2000 to 2012 (historical data)</t>
    </r>
  </si>
  <si>
    <t>Terminology - Temporal</t>
  </si>
  <si>
    <t>Research objective(s) and/or question(s) explicitly identified by the authors</t>
  </si>
  <si>
    <t>Modelling approach used in the study</t>
  </si>
  <si>
    <t>Scaling of the system to macro-level</t>
  </si>
  <si>
    <t>Representation of temporal distribution</t>
  </si>
  <si>
    <t>Terminology for temporal aspects of LCA</t>
  </si>
  <si>
    <t>Terminology for system scale</t>
  </si>
  <si>
    <t>Yes/No; marked Yes if available as gold or hybrid open access</t>
  </si>
  <si>
    <t>Yes/No; sufficiency for replication not checked</t>
  </si>
  <si>
    <t>Location of shared input data and/or code</t>
  </si>
  <si>
    <t>Type of system studied / study focus</t>
  </si>
  <si>
    <t>Level of assessment</t>
  </si>
  <si>
    <t>Location of reference flow</t>
  </si>
  <si>
    <t>Temporal resolution in future scenarios (historical years ignored here)</t>
  </si>
  <si>
    <t>Life cycle stages within system boundary (cradle-to-grave, cradle-to-gate, cradle-to-use, cradle-to-gate &amp; EoL, or EoL only)</t>
  </si>
  <si>
    <t>Details on life cycle stages covered</t>
  </si>
  <si>
    <t>Defined scenarios and scenario parameters</t>
  </si>
  <si>
    <t>Method for addressing multifunctionality</t>
  </si>
  <si>
    <t>System model of ecoinvent database</t>
  </si>
  <si>
    <t>BG LCA database used</t>
  </si>
  <si>
    <t>Ecoinvent system model</t>
  </si>
  <si>
    <t>Yes/No; whether main article assessed more than global warming (supplementary-only or non-macro-level results not counted)</t>
  </si>
  <si>
    <t>Temporal mismatches</t>
  </si>
  <si>
    <t>Inventory modelling?</t>
  </si>
  <si>
    <t>Type of sensitivity analysis: local vs. global; one-at-a-time vs. all-at-a-time (following Heijungs 2024)</t>
  </si>
  <si>
    <t>Variables tested in sensitivity analysis</t>
  </si>
  <si>
    <t>Level of detail in the spatial assessment</t>
  </si>
  <si>
    <t>Timeframe of analysis, including historical coverage (if applicable) and future scenario years</t>
  </si>
  <si>
    <t>Yes/No; whether inventory modelling was done by authors or they used characterisation results directly</t>
  </si>
  <si>
    <t>Whether and how an uncertainty analysis was performed, considering only analyses based on parameter distributions</t>
  </si>
  <si>
    <t>Sharing location</t>
  </si>
  <si>
    <t>Sharing license</t>
  </si>
  <si>
    <t>Uncertainty analysis</t>
  </si>
  <si>
    <t>Sensitivity analysis type</t>
  </si>
  <si>
    <t>FU</t>
  </si>
  <si>
    <t>FU at macro-level?</t>
  </si>
  <si>
    <t>License for shared input data and/or code</t>
  </si>
  <si>
    <t>Explicitly defined functional units</t>
  </si>
  <si>
    <t>Yes/No; whether FU defined at macro-level</t>
  </si>
  <si>
    <t>Explicity reported cut-offs</t>
  </si>
  <si>
    <t>Temporal mismatches between FG and BG systems</t>
  </si>
  <si>
    <t>Reported impact level(s); mid- or endpoint or both</t>
  </si>
  <si>
    <t>available copper trailings derived from EU copper mine production (assumed constant), declining ore grade (assumed to follow "the power regression relationship according to Crowson (2012)") and previous work of the authors on future quality and quantity of tailings at each site ("This was performed by considering site-specific data of the generated copper tailings in the baseline/future scenarios usingmarket data fromthe S&amp;P market intelligence platform (S&amp;P, 2020) and regionalized environmental assessment of sulfidic copper tailings (Adrianto et al., 2022).")
- market shares of treatment options: scenario-assumptions</t>
  </si>
  <si>
    <t>Stock-driven dMFA of buildings with stock derived from population projection (same in all scenarios) and floor area per person (scenario dependent)
- share of building typologies: assumed constant over time</t>
  </si>
  <si>
    <t>waste volume from coupled CGE (Environmental Medium Term Economic Model (EMEC)) with waste intensities for sectors from national waste statistics
- inputs: GDP, commodity prices, world trade, employment, waste intensities, carbon permit price, policy instruments (taxes, feeds and tradable permits, bans)
- market shares of waste treatment technologies: based on costs, determined through coupled model</t>
  </si>
  <si>
    <t>Stock-driven dMFA of on- and offshore wind power turbines with stock derived from cumulative capacity of IEA scenario (using linear inpolation for not directly given years)</t>
  </si>
  <si>
    <t>lumenhour demand for lighting derived from IEA scenario and assumed current and future energy efficiencies of light-source technologies
- market shares: scenario-based assumptions</t>
  </si>
  <si>
    <t>production volume derived from annual growth rate by technology (scenario assumptions)</t>
  </si>
  <si>
    <t>Stock-driven DSM of vehicles with stock derived from tkm and pkm demand in different demand segments from econometric model based on GDP projection (historic average), projection for number of households, demand elasticities (historic averages) and cost of ownership 
• market shares of vehicle types within each demand segment: discrete choice model based on cost of ownership and non-cost factors
• vehicle distances travelled “disaggregated by passenger/freight, vehicle type, vehicle size, fuel type, propulsion technology and ‘route segment types’”: based on total tkm and pkm (see above) and average load factors (assumed constant over time at 2008 levels)</t>
  </si>
  <si>
    <t>SD model that is very close to a stock-driven DSM (see Figure SI-1) with stock derived from constant vehicle stock and powertrain market shared modelled with a Bass diffusion model, calibrated to IEA scenarios &amp; modified so that EV sales share in 2035 is 100% 
• battery chemistry market shares: based on literature (Xu et al.) for both NCX and LFP dominated scenarios 
• battery production market shares (countries): scenario-based assumptions
• vehicle segment market shares: constant over time
• vehicle powertrain technology market shares: Bass diffusion model, calibrated "based on the “Stated Policies Scenario” (STEPS) or the “Announced Pledges Scenario” (APS)" of the IEA (depending on the scenario) &amp; modified so that sales share in 2035 is 100%</t>
  </si>
  <si>
    <t xml:space="preserve">30 scenarios: combination of 5 FG scenarios, 3 GHG intensity trajectories and 2 cases for material efficiencies (one based on full ranges of material intensities and one based on state-of-the-art material-efficient designs)
- ‘High Coal’: Above 2 ◦C; SSP2; AIM/CGE 2.0; Liu et al. (2018)
- ‘Gas &amp; Nuclear’: Lower 2 ◦C; SSP5; REMIND-MAgPIE 1.5; Riahi et al. (2017)
- ‘CCS &amp; Renewables’ : Lower 2 ◦C; SSP2; AIM/CGE 2.0; Liu et al. (2018)
- ‘Fossil Phase-out’: 1.5 ◦C low overshoot; SSP1; REMIND-MAgPIE 1.5; Rogelj et al. (2018)
- ‘Sustainability+’: Below 1.5C; Mix of SSP1 and SSP2; REMIND-MAgPIE 1.7–3.0; Bertram et al. (2018)
3 material GHG intensities: 
a) 'Baseline': "follow current trends" (steel/aluminium: linear extrapolation based on historical values from the literature; concrete/copper: constant based on literature)
b) 'Changing energy mix': "Energy-related GHG emissions of processes decline at the same rate as emission intensity of final energy in the respective energy scenario" &amp; process emissions remain the same (based on literature, no shift to new processes)
c) 'Transition to low-carbon processes': same as b) just additionally with reduction of process emissions through technological innovations (steel: full decarbonisation until 2050; cement: process emissions according to IEA SDS scenario; aluminium: 50% reduction until
</t>
  </si>
  <si>
    <t>- share of primary and secondary production: determined through optimisation model (optimising for climate change impacts) and assumed collection rate and bins (scenario-dependent)
- use characterisation results based on Pedneault et al. (2021), which is also one of the papers reviewed by us; these include both FG and BG (see Pedneault et al. 2021 for details)</t>
  </si>
  <si>
    <t>Stock-driven DSM of photovoltaics installations with stock derived from historical PV installation trajectory in Italy, capped by maximum potential given by IEA report
- market shares based on changing cost of ownership (learning curves)</t>
  </si>
  <si>
    <t xml:space="preserve">demand scenarios from literature, based on GDP growth rate estimates from GEO-4 scenarios of the UN and implicitly assume a continuation of historic trends 
- market composition (pyro- and hydrometallurgical shares): regression analysis of historic rates (from the International Copper Study Group) from 2000 to 2014 </t>
  </si>
  <si>
    <t>demand scenarios from literature, based on GDP growth rate estimates from GEO-4 scenarios of the UN and implicitly assume a continuation of historic trends 
- primary production routes: for copper and nickel 2 each considered based on historical data from Mudd et al. (2017) and own assumptions for future development</t>
  </si>
  <si>
    <t>Representation of temporal evolution; only parameters that change over time described</t>
  </si>
  <si>
    <t>- specific treatment processes assumed to be in place in 2050 (see table S4), no trajectory needed as only considering 2 years
- no technological development for the tailings processing ("No technology learning effects were considered in this assessment."), but upscaled to industrial level in previous study ("It is important to note that we apply prospective LCA through scaling of respective technologies as described in detail in the study of Adrianto and Pfister (2022). No technology learning effects were considered in this assessment.")
- various assumptions for 2050 state for the goods substituted by the co-product (e.g. "Copper production via pyrometallurgical smelting technologies remains the major production pathway worldwide." &amp; "For future zinc production, energy demand (i.e., electricity and natural gas) are reduced by 12 % according to the optimized energy consumption capacity (Qi et al., 2017).")
- BG changes based on premise with REMIND SSP2-RCP 1.9 W/m2</t>
  </si>
  <si>
    <t xml:space="preserve">- changing composition of building stock by archetype and components based on scenario-inputs to the dMFA
- renovation of buildings and change of building components considered, including changing space heating technology
- BG changes based on premise with REMIND SSP2-Npi for reference scenario, REMIND SSP2-PkBudg500 for mitigation scenarios
</t>
  </si>
  <si>
    <t xml:space="preserve">- shift toward development in ocean waters &amp; improved capacity factor ("technological improvements were captured only through a shift toward development in ocean waters, and an improved capacity factor.")
- changing electricity supply mix ("We incorporate changes in electricity mix by altering the relative shares of power generation technologies in the direct requirements matrix, A, consistent with the IEA scenarios")
</t>
  </si>
  <si>
    <t>- Technological development: implicitly assumed through changing stock composition and respectively new incoming wind turbine models ("This is explained by more favorable ratios of materials and energy requirements to electricity production. As manufacturers improve the design of components with time, so does the overall material efficiency of wind turbines.")
- Technology diffusion: assume new installations based on size: "3.6 MW between 2017 and 2020, 6MW between 2021 and 2025 and 8MW from 2026 and up"
- changing local conditions for new installed wind turbines: determined through parameterized model for wind turbines from Sacchi et al. 2019 based on GIS data ("to estimate the size of underwater foundations and the connection to the continental electricity grid"), Danish national wind turbines registry and TheWindPower database (for "mass and size attributes" of existing models and to estimate the ones of future models), scaling functions (see SI)
- changing electricity supply mix based on historical data and projections of the Danish Ministry of Energy, static ecoinvent inventories for the electricity generation technologies 
- steel recycling rates: based on "data from the German association of steel producers" and projecting using regression</t>
  </si>
  <si>
    <t>- changing building stock composition
- BG changes according to 9 premise scenarios: SSP1-None, SSP2-None, SSP5-None, SSP1-RCP2.6, SSP2-RCP2.6, SSP5-RCP2.6, SSP1-RCP1.9, SSP2-RCP1.9, SSP5-RCP1.9; extracted for 2025, 2030, 2040 and 2050 and "interpolated between these years" (not specified how interpolated exactly)</t>
  </si>
  <si>
    <t xml:space="preserve">- differentiate material intensities based on literature and in two different scenarios (see scenarios)
- Characterisation results of bulk materials change over time (see scenarios)
</t>
  </si>
  <si>
    <t xml:space="preserve">- adoption of  low-impact concrete phasing out conventional one by 2040 
- market shares of building types: based on extrapolations of historical data (official Swedish statistics) and assumptions; different for the scenarios, but assumed constant over time in each
- changing energy supply characterisation results (heat and electricity) for the impact intensities based on government scenarios
</t>
  </si>
  <si>
    <t>- linear increase of battery pack energy density to year 2035
- recycling rate of batteries changes over time (scenario assumptions)
- EV share: scenario dependent assumption with assumed value in 2050 and linear interpolation in between
- domestic electricity supply mix changing based on scenario published by national grid; - affects only recycling, vehicle manufacturing and use phase (assumed to be in the UK), the battery manufacuring is assumed to be outside of the UK and based on local grid mixes that do not change over time</t>
  </si>
  <si>
    <t>- market shares of the battery types, amount of batteries manufactured in Europe, secondary materials share: based on mixed integer linear programming optimisation model
- electricity mix for Europe from Beltran et al. (2018): "ei37_cutoff_IMAGE_SSP2_SS")</t>
  </si>
  <si>
    <t>- assume "annual reduction in the emissions of NOx and SOx of 0.6% and 0.3% of black carbon per unit mass of fuel used" until 2050 (based on ICAO engine emission database), thereafter constant
- fuel efficiency: annual improvement of 0.6% until 2050 (based on "Destination 2050" report of SEO Amsterdam Economics), thereafter constant
- operating weight: change depending on aircraft type (both increases and decreases) (based on Cox et al. 2018) until 2050, thereafter constant
- seating capacity: annual improvement of 0.3% until 2050 (based on "Destination 2050" report of SEO Amsterdam Economics), thereafter constant
- occupancy: annual improvement of 0.3% until 2050 (based on "Destination 2050" report of SEO Amsterdam Economics), thereafter constant
- hydrogen: energy efficiency improvement assumed "bringing the electricity use per kg of hydrogen from 55 kWh in 2020 down to 44 kWh in 2050, besides a fixed amount of electricity (i.e., 3.2 kWh/kg H2) to compress the hydrogen from 25 to 700bar before storage90 .", constant after 2050
- DAC system: "learning rate of 2% is considered for heat and electricity use" (based on literature)
- diffusion: in syn-jet fuel scenario; assume blending "with conventional jet fuel with a volume percentage of 5% in 2030, 63% in 2050, and finally 100% in 2063 (i.e., +2.6% per year)"
- BG changes from REMIND SSP 2-RCP 2.6 and SSP2-Baseline</t>
  </si>
  <si>
    <t>- energy efficiencies of BEV: taken from literature (Pauliuk et al., 2021)
- reduction of material losses in processes: scenario-parameter assumptions with target value in 2050 and linear interpolation until then
- diffusion: marekt shares modelled based on logistic curve based on assumptions for 2020 (12.4% of new sales), 2022 (24.5% of new sales) and 2035 (100% of new sales)
- BG changes from IMAGE SSP2-Base &amp; SSP2-RCP19</t>
  </si>
  <si>
    <t xml:space="preserve">- assumed lifetime extension
- assumed reduced per capita material stocks 
- increasing recovery rates (% of EOL) (literature-based values for each material specifically, gradual increase to 2060 assumed (for some also 0 assumed, e.g. cement))
- characterisation results for material production assumed to conform with IEA report scenario for the specific industries </t>
  </si>
  <si>
    <t>- market share of cathode technologies: based on literature scenarios with linear interpolation to a target value in the future
- EV diffusion: linear increase to 100% by 2035, adjusting the other vehicle technologies proportionally to their projected relative market share from AEO
- recovered metals per recycling technique and battery cathode: based on literature (EverBatt model, ); differentiated landfill, incineration and recovery (all recovered metals are used only in LIB manufacturing -&gt; closed loop)
- fuel consumption from battery weight: "This study also accounts for the additional energy use and resultant charging (i.e., use phase) emissions from the added battery weight, relative to a hypothetical scenario of a zero-weight battery. This is done following vehicle lightweighting capabilities built into FLAME."
- characterisation factors of primary material production: based on literature projections and GREET
- electricity supply mix characterisation results used in LIB production: "In the base case, the default AEO projections were used [1]. In the sensitivity analysis, we assumed that only renewable electricity is used in the battery manufacturing, linearly decreasing the electricity grid GHG emission factor from 372 gCO2e from 2020 to no emissions in 2050. Within the sensitivity analysis, we also considered the projections of the base electricity grid mix in China from China Automobile Low Carbon Action Plan (CALCP) [21]."</t>
  </si>
  <si>
    <t>- recovery rate of steel: assumptions
- closed loop percentage: scenario-specific assumptions
- type of material in and weight of vehicles (lightweighting): one based on case study, 4 based on own development (literature review, assumptions, ...)
- energy efficiency improvements for FG processes (see SI2): assumptions
- cascading of EOL vehicle scrap: scenario-specific assumptions
- steel and aluminium production energy efficiency: assume improvement of 23% from 2005 to 2050 based on BAT adoption
- assume 50% reduction of global warming characterisation results for all energy carriers until 2050</t>
  </si>
  <si>
    <t>- EV penetration rate: industry roadmap 
- market share of refrigerants: assuming 100% adoption rate for new vehicles of different refrigerant by scenarios
- energy efficiency of ICEVs and EVs: literature-based trajectory (not specified)
- annual distance travlled: literature-based trajectory (not specified)
- global warming characterisation results of electricity supply reduces over time following trajectory from literature; only considered for the energy consumption of the MAC during the use phase, not up-or downstream (despite implied in Fig. 1)</t>
  </si>
  <si>
    <t>- ore grade: ore grade of cobalt and nickel as proxy; future development estimated using a least squares regression based on demand of primary copper and nickel scenarios from Elshkaki et al. (2018) (matching their “MarketWorld” to “business as usual” and “EquitabilityWorld” to “sustainable development” scenario) and historical production data from USGS
- ore grade development, determining amount tailings as well as needed electricity and diesel in mining
- other exchanges (mining): proportional relation to electricity requirement assumed 
- secondary supply potential: estimated using a dMFA based on demand estimated (see bulletpoint above), lifetimes and recycling rates from literature
- electricity supply mix changes according to data from Beltran et al. (2018) for SSP2-RCP6 and SSP2-450-RCP2.6; linearly interpolated to 5-year resolution from the 10 year steps provided</t>
  </si>
  <si>
    <t>- ore grade decline: literature based, metal-specific trajectories
- many dMFA parameters changing in scenarios based on literature and assumptions: lifetime, material intensities, recycling rate, reuse rate
- energy efficiency of material production: yearly improvements for steel (1.5%), aluminium smelting (0.5%), copper (1.77% for electricity, 1.5% for steel); all based on literature
- copper production routes: "market shares of hydrometallurgical and pyrometallurgical primary copper production based on Harpprecht et al. (2021)"
- electricity supply mix changes according to data from Beltran et al. (2018) for SSP2-baseline (baseline scenario) SSP2-2.6 (high efficiency scenario)</t>
  </si>
  <si>
    <t>- fuel efficiency: specific improvements assumed for different periods and varying by vehicle type
- energy resource and fuel prices: based on government forecasts and scenario assumptions
- pre-tax vehicle purchase cost and non-cost parameters: vehicle technology specific assumptions
- diffusion: modal shares based on econometric model and discrete choice model
- changing electricity supply mix: based on government projections; only affecting the use phase ("electricity as a fuel")</t>
  </si>
  <si>
    <t>- fuel efficiency: specific improvements assumed for different periods and varying by vehicle type
- energy resource and fuel prices: based on government forecasts and scenario assumptions
- pre-tax vehicle purchase cost and non-cost parameters: vehicle technology specific assumptions
- diffusion: modal shares based on econometric model and discrete choice model
- changing electricity supply mix: based on government projections; only affecting the use phase ("electricity as a fuel")
- specific scenario assumptions for "(a) purchase taxes and feebates, (b) scrappage rebates and (c) vehicle excise duties (road taxes)"</t>
  </si>
  <si>
    <t>- fuel efficiency: specific improvements assumed for different periods and varying by vehicle type
- energy resource and fuel prices: based on government forecasts and scenario assumptions
- pre-tax vehicle purchase cost and non-cost parameters: vehicle technology specific assumptions
- diffusion: modal shares based on econometric model and discrete choice model
- changing electricity supply mix: based on government projections; only affecting the use phase ("electricity as a fuel")
- scenario-based parameters used to achieve certain model shares</t>
  </si>
  <si>
    <t xml:space="preserve">- electricity supply mix NL: TNO transform scenario
- electricity supply mix Europe and RoW: based on SSP1-Baseline IMAGE
- scenario-specific simple assumptions on improving energy, water and detergent use of washing mashines
- adoption rate of the business model (scenario-based); consumer can only adopt new model when their existing machine leaves the stock; Bass model for the willingness
</t>
  </si>
  <si>
    <t>- changing building stock composition
- characterisation results of material production: Swiss Energy Perspectives scenarios &amp; premise REMIND and IMAGE for 2035 and 2055, linear interpolation in between
- BG changes according to premise: REMIND and IMAGE, includes changes to electricity, cement and steel sectors; changes for 2035 and 2055, linear interpolation in between</t>
  </si>
  <si>
    <t xml:space="preserve">- refer to the 2019 FLAME publication ("We perform fleet-level LCAs by running the FLAME (fleet LCA and material-flow estimation) model (Milovanoff et al 2019) between 2020 and 2050.)" implies the same as in that publication
- changing electricity supply mix: "Prospective annual average electricity mixes between 2020 and 2050 are used in this analysis and derive from the Annual Energy Outlook 2021 (US Energy Information Administration 2021)."
- market shares of vehicle type: scenario-dependent based on 2035 goal and linear interpolation 
</t>
  </si>
  <si>
    <t>- Technological development: only those inherent to processes taken from premise (REMIND-SSP2-Base (RCP3.4) and REMIND-SSP2-PkBudg500 (RCP1.9)); no improvements considered for the biofuel production in the future
- market shares of technologies: simply assume 100% for each considered technology in different scenarios &amp; one with the best of the options in every year
- BG changes according to premise for REMIND-SSP2-Base (RCP3.4) and REMIND-SSP2-PkBudg500 (RCP1.9)</t>
  </si>
  <si>
    <t>- increasing recycling efficiencies based on EU regulation
- battery chemistry market shares: based on literature (Xu et al.) for both NCX and LFP dominated scenarios 
- battery production market shares (countries): scenario-based assumptions
- vehicle segment market shares: constant over time
- vehicle powertrain technology market shares: Bass diffusion model, calibrated "based on the “Stated Policies Scenario” (STEPS) or the “Announced Pledges Scenario” (APS)" of the IEA (depending on the scenario) &amp; modified so that sales share in 2035 is 100%
- battery recycling market shares: 
-- post-consumer waste: assumed to be in the EU only, country distribution until 2030 based on literature (Bockey and Heimes 2023) and assumed constant after 2030; considered for the region of the inventories
-- post-production waste: assumed to be "recycled at the location of battery production"
- BG changes according to premise for REMIND SSP2-Base and SSP2-PkBudg500</t>
  </si>
  <si>
    <t>- efficiency improvements of water heating (based on literature) and space heating (based on renovation)
- efficiency improvements of space heating: "assuming a saturation level reached by end-of-century", but how exactly is unclear to us
- renovation of buildings (including changing heating systems) based on dMFA results and discrete choice model (based on cost of ownership building on IAM energy price projections) and assumed scenario-specific renovation rates
- scenario parameters for lifetime, wood construction and floorspace reduction
- renovation, share of building types etc. fed into bottom-up energy demand model 
- diffusion: based on discrete choice model (determining uptake of energy efficiency measures and heating systems in new and renovated buildings) &amp; previous work of the authors (Mastrucci et al. 2021; building types)
- BG changes according to premise for MESSAGEix-GLOBIOM SSP2-Npi and SSP2-1.5C</t>
  </si>
  <si>
    <t>- FG inventories scaled up using framework of Picino et al., but constant over time (see tables S4 to S8)
- Diffusion: show results for scenarios with 100% of each technology
- BG changes based on premise for IMAGE SSP2 baseline, 1.5 °C and 2 °C, but only 2° used for the marco-level results (see figures 6 and 7)</t>
  </si>
  <si>
    <t>- FG inventories from premise with 2 adjustments 
-- change of the electricity supply for green hydrogen to be not from grid, but either PV or wind turbines
-- "The activities created by premise featured negative electricity consumption values (i.e., electricity generation instead of consumption) for blue and grey hydrogen, hence they were adjusted for consistency to the consumption values indicated in the original data source [55]"
- process route market shares: scenario-based assumptions, constant over time
- BG changes according to premise for REMIND SSP2-2.6</t>
  </si>
  <si>
    <t>- Market share of vehicle types: based on 
-- share of transport mode: IEA scenario
-- powertrain-share within each transport mode: scenario-based assumptions leaning on IEA reports
-- share of LDV and HDV (relevant for the calculation of direct emissions, see below): based on literature
- BG changes according to premise for IMAGE SSP2-RCP6, SSP2-RCP26, SSP2-RCP19; manually added the market shares of hydrogen production approaches, also based on IMAGE (but not by default in the premise version they used)
- energy intensity (MJ per tkm or pkm for each vehicle type): shown in the schematic representation of the methods (see figure S1), but the source is to the best of our knowledge never explained</t>
  </si>
  <si>
    <t>- market-shares of vehicle types: scenario-parameter based on policy target, assumptions and IEA scenarios
- energy effciency of EVs changes based on assumed development of battery weight
- annual increase of energy efficiency of ICEVs assumed
- vehicle manufacturing characterisation results: fixed factors for the historical years; for scenarios emissions from electricity consumption (changing over time; informed by share of manufacturing countries and their projected characterisation results) for manufacturing (fixed kWh / unit for each vehicle type) and battery pack (fixed kWh / kWh capacity) and "other forms of energy consumption" (constant over time) for manufacturing (fixed kg / unit for each vehicle type) and battery pack  (fixed kg / kWh capacity)
- electricity supply mix changing based on IEA scenario</t>
  </si>
  <si>
    <t>- assumption for improving insulation efficiency, scenario-dependent
- improving EV energy efficiency based on literature value for 2040, linear interpolation in between
- battery production electricity requirements: estimated to linearly decrease from 5,000 to 3400 kWh in 2040 and further linear extrapolated until 2050 (all based on Cox et al.)
- HPs energy efficiency: 30% improvement until 2030, 40% until 2050, linear interpolation in between
- changing input for the scenarios: policies implemented in the IAM
- diffusion: market shares from coupled IAM, relying on a vintage stock model and a discret choice model considering multiple agents
- global warming characterisation result for the electricity supply mix ("calculated from the model-projected levels of total power-sector emissions and electricity demand in each region and year", historic data (up to 2012) from IEA, scenario projections from E3ME-FTT)</t>
  </si>
  <si>
    <t>- share of secondary material from the dMFA
- improved process efficiencies and processing rates (e.g. C&amp;DW and ELV collection rates assumed at 95% in 2100) assumed for 2100 in the TC scenario, the trajectory between 2017 and 2100 is not disclosed
- diffusion: no new technologies considered in the modelling, just mentioned as reasoning for improving process efficiencies ("improved circular use of copper, facilitated by diffusion of novel technologies currently available at laboratory or pilot scale but with the potential for future application at industrial scale")
- electricity supply mix: changing according to 2 scenarios from the "China Renewable Energy Outlook 2017": Chinese Policy (CP)&amp; Technical &amp; Circular (TC)</t>
  </si>
  <si>
    <t>- assume improving impacts of material production (see file "GAMS_input_demo" in Zenodo)
- diffusion: defined by the optimisation based on the defined constraints, of which one can be the "Maximum uptake rate"
- assume changing characterisation results of the electricity mix</t>
  </si>
  <si>
    <t>- fuel consumption improvements: adapted trajectories from report
- material composition changes based on scenarios, including the effects on fuel savings
- market shares of vehicle type: scenario-dependent based on 2035 goal and linear interpolation 
- lightweighting: linear growth from 2015 to 2030 of replacement according to the different scenarios
- electricity supply characterisation results: different scenarios based on government report
- electricity consumption of aluminium smelting: projected from 2000 to 2015 values (from the IAI) for 2015 to 2050 for each ecoinvent region ("Annual improvements for most of the producing regions are from 0.3% to 0.5%")</t>
  </si>
  <si>
    <t>- building type split and their energy carrier split: based on IEA World energy outlook, specific for baseline and RCP2.6
- material intensities and building energy demand: depend on building categories and archetypes, based on BuildME modeling framework (Krych et al. 2024)
- changing electricity supply mix based on IMAGE baseline results for RCP2.6
- change in production technologies for steel and aluminium: 
-- steel: linear increase of share of H2 produced steel starting in 2021 and at 100% in 2050
-- aluminium: share of "efficient" production increasing linearly from 0% in 2015 to 100% in 2040</t>
  </si>
  <si>
    <t>- Technological development: linear development to assumed target values in 2060 assumed; learning curves for module cost reduction
- market shares based on changing cost of ownership (learning curves)
- scenario-based assumptions for module costs, lifespan, conversion efficiency adn degradation rate in 2060, linear interpolation until then
- electricity mix for Europe from Beltran et al. (2018): "ei37_cutoff_IMAGE_SSP2_SS")</t>
  </si>
  <si>
    <t>- global warming characterisation results of heat pumpts and networks: based on assumed market shares of sub-technologies
- market shares of space heating systems: scenario-based assumptions for newly added buildings
- efficiency of the buildings: scenario-based assumptions insulation standard for new buildings for newly added buildings and renovation standard for existing ones (also influences the rooftop PV generation)
- diffusion: specific assumptions for insulation standard (include heating system technology diffusion)
- electricity mix for Europe based on Beltran et al. (2018); SSP2 (baseline) and SSP2 450</t>
  </si>
  <si>
    <t>- market shares: 
-- fossil fuel, corn or sugarcane: scenario-based
-- within these groups: "For polymers with different subtypes, the emission value of resin production is a weighted sum based on the market share of each subtype. Market share data are from www.statista.com."
- EoL mix: assuming specific shares in 2050 and linear interpolation in between
- changing mix for electricity, heat and diesel supply: assuming specific shares in 2050 and linear interpolation in between</t>
  </si>
  <si>
    <t>- BG changes according to premise for IMAGE SSP2-Baseline, SSP2-2.6, SSP2-1.9
- thermal and electric energy efficiency of kilns: taken from IMAGE scenarios
- specific assumptions for hydrogen, secondary heat, modern biomass, traditional biomass based on literature and IEA reports
- region market shares: taken from IMAGE scenarios
- technology market shares: taken from IMAGE scenarios
- fuel mix: derived from IMAGE scenarios using proxy ("IMAGE’s fuel mixture represents the non-metallic mineral sector and not specifically the cement sector (see 2.2.2). As no data on future fuel composition for cement production on a global level was available, the IMAGE mix was used as a proxy, acknowledging that it does not reflect the specific characteristics of the cement sector (Georgiopoulou and Lyberatos, 2018).")</t>
  </si>
  <si>
    <t>- characterisation results of generation technologies based on THEMIS, which in turn based on IEA scenarios
- consider changes to lifetimes, power plant energy efficiencies, material efficiencies for PV, load factors
- scenario-specific constraints on technologies
- exact mechanisms depend on the IAM: "All IAMs used here represent the continued evolution of energy systems and technological progress in energy technologies over time, either by applying exogenous cost reductions based on bottom-up estimations (GCAM and MESSAGE models), or through endogenous modeling of learning-by-doing (REMIND, IMAGE, POLES models). "
- Market shares of technologies: based on costs, but also restricted by regional resource availability and scenario-based restrictions of availability</t>
  </si>
  <si>
    <t>- include embodied energy use coefficients into REMIND, which change over time based on THEMIS
- technological development of operation (capacity factors, lifetimes etc.) in REMIND, we do not go into detail here because reviewing the IAM itself is beyond our scope</t>
  </si>
  <si>
    <t>- efficiency of electrolysis is assumed to improve (all scenarios): "66% in 2020 and 76% in 2050 for both electrolyser technologies"
- BG changes according to premise for IMAGE SSP2-RCP6.0; SSP2-RCP2.6; SSP2-RCP1.9
- diffusion: based on IEA scenarios</t>
  </si>
  <si>
    <t>- selected improvements of electricity generation technologies: PV (efficiency and material requirements), coal and gas (efficiency) and wind (increasing load factors)
- market shares of sub-technologies within each technology: estimated based on expert judgement and technology roadmaps
- installed capacities in between the years given in the IEA scenarios derived from DSM
- BG changes according to THEMIS IEA BLUE Map and Baseline scenarios; linear interpolation between the THEMIS years 2010, 2030 and 2050 (personal correspondence with Thomas Gibon); this includes selected material production processes, reduced air pollutants in the IO-LCA part of the BG and a changing electricity supply mix</t>
  </si>
  <si>
    <t>- BG changes according to premise for IMAGE SSP2-Base, SSP2-RCP26 and SSP2-RCP19
- market shares of process routes: based on assumptions; 100% fossil fuels vs 50% wind / 50% solar process routes
- Technological development: "We assume only multi-Si PV panels for solar technologies in our analysis. An improvement in efficiency is considered for these technologies. However, for onshore wind turbines, no improvement in efficiency is considered in the automatically generated and utilised inventories."</t>
  </si>
  <si>
    <t>coal and natural gas power generation from IEA scenario, interpolation in between given years
- market shares: only one CCS technology considered over the whole timeframe</t>
  </si>
  <si>
    <t>- background electricity production changes according to foreground scenarios ("As a novel element in our model, the produced electricity from the foreground also satisfies the need of the background system for fossil fuel based power to produce the inputs to the foreground based on the electricity mix specified in the ETP scenarios. The net electricity product from the system finally satisfies global fossil electricity demand."
- curve fitting for identified key parametersof MEA (e.g. power plant efficiency, solven requirements, ...)
- plant efficiencies improve according to "efficiency development trends" of the IEA scnearios
- assume developments of key parameters for "post-combustion MEA" : "Influential and variable parameters are identified from assessment, scenarios and literature (e.g. power plant efficiency, capture energy penalty, capital cost, solvent requirement, capture process emissions/wastes, etc.); and the varying development trends for these parameters are obtained by curve fitting."
-- more detailed information, e.g. how the parameters develop exactly, is not provided by the authors
- market shares: only one CCS technology considered over the whole timeframe</t>
  </si>
  <si>
    <t>- assume specific improvements of the net efficiency (lower heating value) for all 9 process routes based on literature and assumptions (see table 1)
- slack lifetime of electrolyzers: technology-specific increase assumed based on literature
- material required in electrolyzer stack production: technology- and material-specific decrease assumed based on literature
- BG changes according to premise for REMIND (SSP2-NDC, SSP2-PkBudg1150, SSP2-PkBudg500), matched to the IEA FG scenarios in the BG
- market shares of process routes: from IEA scenario</t>
  </si>
  <si>
    <t>- BG changes according to premise for REMIND SSP2-NPi, SSP2-PkBudg1150, and SSP2-PkBudg500 
- parameters of technologies improve based on ESM assumptions (efficiencies, other technological parameters etc.) &amp; literature
-- the authors state: "To ensure consistency across the STEM scenarios and the LCA database, each variable representing energy conversion, transmission, distribution, and consumption within the STEM framework is harmonized and linked to the corresponding life cycle inventory. This process ensures that technological parameters, process efficiencies, and energy markets modeled in STEM are accurately reflected in the life cycle inventories used for impact assessment."; but to us it remains partially unclear how this is implemented exactly
- battery densities and material intensities: assumed for 2020 and 2050 (improvements) based on literature, linear interpolation in between (see Table 2)
- market shares: 
-- main technologies (e.g. wind): from the ESM
-- sub-technologies (based on companion paper Hahn Menacho et al. 2025: "The material-energy nexus in net-zero transition scenarios: exploring environmental trade-offs and uncertainties", also reviewed here)): literature assumptions, changing over time</t>
  </si>
  <si>
    <t>- BG changes according to premise for REMIND SSP2-PkBudg1150
- parameters of technologies improve based on ESM assumptions (efficiencies, other technological parameters etc.) &amp; literature
-- the efficiencies of technologies change over time, but to us it remains partially unclear how this is modelled: the authors state that "processes occurring within Switzerland and involving primary, secondary, and final energy carriers are updated throughout the LCA database in alignment with the projections of the STEM scenario" and that "The efficiencies of secondary energy conversion processes, such as heat and power plants, are also adjusted in the LCA database to align with those assumed in STEM.", but they also show specific efficiency assumptions for 8 sub-technologies (see SI, table 4), which are based on literature
- battery densities and material intensities: assumed for 2020 and 2050 (improvements) based on literature, linear interpolation in between (see Table 2)
- market shares: 
-- main technologies (e.g. wind): from the ESM
-- sub-technologies (based on companion paper Hahn Menacho et al. 2025: "The material-energy nexus in net-zero transition scenarios: exploring environmental trade-offs and uncertainties", also reviewed here)): literature assumptions, changing over time</t>
  </si>
  <si>
    <t>- energy supply  mix comes from the ESM (e.g. the impact of a gas boiler is not fixed, but dependent on the gas source that comes from JRC-EU-TIMES)"
- changes of efficiency, capacity factor and lifetime considered in the operational phase (learning curves) to be consistent with the ESM
- Technological development: based on coupled ESM -&gt; changes of efficiency, capacity factor and lifetime considered in the operational phase (learning curves), but "possible improvements in the manufacturing process and lower material consumption in that step is not included"
- diffusion: based on coupled ESM
- NEEDS based micro-level characterisation results ("Realistic-optimistic / 440ppm scenario for 2050 was used")</t>
  </si>
  <si>
    <t>-Technological development: improvements considered in the FG inventories: based on carculator (Sacchi et al. 2022; "Each type of powertrain is defined across different sizes (i.e., from city cars to SUV) but also across me, where improvement in terms of aerodynamic, engine and transmission, as well as energy storage, are reflected over a period going from 2000 to 2050."), which in turn is based on many sources (e.g. emission standards and car curb mass) 
- technology market shares come directly from consumer choice model (including monetary and non-monetary aspects) hard-linked to REMIND; some scenario-specific adjustments (e.g. synfuel share exogenously adjusted in one scenario)
- changing vehicle costs and perceived costs as input to REMIND ("calibrated to reflect historical shares of the different technologies and for the future follow expectations on the uptake of alternative technologies")
- for the BG also REMIND, with thermodynamic efficiency of power plants adjusted based on GAINS project and recycling rates of cobalt, lithium adn platinum based on literature, SSP for premise not specified</t>
  </si>
  <si>
    <t>- fuel efficiency improvements for the end-use technologies and energy savings in the residential sector: represented in the ESM (e.g. "amounts of energy savings represented technical measures to reduce specific space heating demand")
- adjust "selected processes in the energy chains and in other economic sectors that are considered to be important in terms of contributions to cumulative LCA results according to (Volkart et al., 2013)" and the NEEDS database "to reflect technological progress until 2035"
- "European and Swiss electricity mixes are adjusted to the ones of the respective scenario variant in 2035"
- diffusion: 
-- technology mix based on coupled ESM
-- availability of CCS is scenario assumption: power generation technologies with CCS available from 2030 on</t>
  </si>
  <si>
    <t>- FG and BG changes according to premise for REMIND SSP2-PkBudg1100, for the FG slightly modified or aggregated based on market shares (to match technological resolution of the coupled model)
- market share of electricity generation technologies of total generation: based on coupled model
- market shares of ecoinvent technologies of ISAaR technologies: assumed based on literature, changing over time
- BEV stock: specific values for each scenario year assumed (based on literature)
- average annual mileage: specific values for each scenario year assumed (based on literature)</t>
  </si>
  <si>
    <t xml:space="preserve">- Technological development: changes to generation technology characterisation results based on NEEDS database
- future technology shares: derived from the coupled models
</t>
  </si>
  <si>
    <t>- change selected parameters in the inventories: wind capacity factor, PV efficiency, silicon required to produce wafers, water consumption of CSP
- renewables and nuclear market share: scenario assumptions (input into the ESM)</t>
  </si>
  <si>
    <t>- market shares: based on coupled ESM and scenario assumptions
- harmonise LCIs with ESM parameters (efficiency, lifetimes, ...)
- Additionally specific changes considered for specific technologies based on literature: yield, thickness of glas and wafer for PV; “vehicle frame, power train, and battery characteristics” for transport; “cycle lifetime of stationary batteries and the efficiency of the steam-methane reforming technologies involved in hydrogen production”; “shift between first- and second-generation biofuels for bioethanol and for biodiesel”; “emissions of fossil thermal power technologies not related to the efficiency”
- "adapt the energy consumption and the energy-related flows of the processes representing the production of numerous materials - including aluminum, copper, iron, steel, clinker, concrete, paper, and polyethylene - based on the work of Milford et al.45 and Hertwich et al.46"
- electricity mix in the BG (foreign) based on scenarios of two other ESMs (EUSTEM and MARKAL)</t>
  </si>
  <si>
    <t>micro-level LCA characterisation results added to the ESM (MESAP/PlaNet) and run with it, which essentially implies the same as ESM-LCAa for system scaling: activity level and capacity additions by technology from coupled ESM (MESAP/PlaNet)
- market shares: input into the ESM, not output; scenarios from literature</t>
  </si>
  <si>
    <t>micro-level LCA characterisation results added to the ESM (POLES + EUTGRID) and run with it, which essentially implies the same as ESM-LCAa for system scaling: activity level and capacity additions by technology from coupled ESM (POLES + EUTGRID)
- market shares: input into the ESM, not output; scenarios from literature</t>
  </si>
  <si>
    <t>micro-level LCA characterisation results added to the ESM (MESAP/PlaNet + flexABLE ABM) and run with it, which essentially implies the same as ESM-LCAa for system scaling: activity level and capacity additions by technology from coupled ESM (MESAP/PlaNet + flexABLE ABM)
- market shares: input into the ESM, not output; scenarios from literature</t>
  </si>
  <si>
    <t>micro-level LCA characterisation results added to the ESM (GMM) and run with it, which essentially implies the same as ESM-LCAa for system scaling for system scaling: activity level and capacity additions by technology from coupled ESM (SecMOD)</t>
  </si>
  <si>
    <t>micro-level LCA characterisation results added to the ESM (GMM) and run with it, which essentially implies the same as ESM-LCAa for system scaling: activity level and capacity additions by technology from coupled ESM (STEM)</t>
  </si>
  <si>
    <t>micro-level LCA characterisation results added to the ESM (GMM) and run with it, which essentially implies the same as ESM-LCAa for system scaling: activity level and capacity additions by technology from coupled ESM (GMM)</t>
  </si>
  <si>
    <t>- selected improvements of electricity generation technologies: PV (efficiency and material requirements), coal and gas (efficiency) and wind (increasing load factors)
- assume reduction in investment costs based on learning curves, which is relevant for the market shares in the coupled ESM
- market shares of renewables: scenario input
- The modeling of the BG is only partially clear from the paper: It references the THEMIS BLUE Map scenario (Hertwich et al., 2015), suggesting that the BG is based on that framework. At the same time, the paper states that feedback between the FG and BG is included ("The LCA model incorporates the effects of a changing electricity generation mix on electricity inputs to production processes. In this way, feedback effects of a cleaner electricity mix are included."). Since the FG is modeled using REMix, it remains unclear whether the BG electricity mix is also derived from REMix—ensuring consistency between FG and BG—or if it is fully based on the THEMIS scenario, which in turn is based on IEA projections scenarios (Hertwich et al., 2015).</t>
  </si>
  <si>
    <t>- diffusion: results from the optimisation choosing among multiple technological options
- BG changes according to premise for REMIND SSP2-Base, SSP2-ND, SSP2-PkBudg500</t>
  </si>
  <si>
    <t>- energy mix affected by important waste: based on government scenarios and other literature for the other countries, based on ESM for Denmark
- energy mix from exporting waste: scenario-dependent with some based on IEA scenarios
- diffusion: market share of waste treatment technologies determined by the coupled model</t>
  </si>
  <si>
    <t>- whether technological change was considered is unclear to us, the authors have two statements that we consider contradictory: "The learning curves for both costs and environmental impacts of the technologies used in our model" &amp; "Dynamic LCA can be further extended by prospective LCA, which reflects technical advances in the LCIs, e.g., new technologies, and efficiency improvements. As prospective LCA requires specific knowledge of individual technologies, we excluded such considerations in this work."
-- further specifications in this paper are missing, but the SI of the paper that it is based on (Baumgärtner et al., 2021), which was not reviewed as it does not contain any changes to unit processes over time shows specific improvements of efficiencies for the technologies, which are based on learning curves
- diffusion: through the coupled ESM
- changing electricity mix in the BG (outside of ESM scope) from IEA scenarios with linear interpolations (just the mix, not the unit processes)</t>
  </si>
  <si>
    <t>- adjust LCIs to fit the ESM parameters for the generation technologies
- Technological development: "the LCA indicators for future (advanced) technologies are either calculated by adjusting the efficiencies of the original ecoinvent processes based on the technology description in the GMM model, which neglects other (technological) improvements, or by using datasets from other sources (particularly in biofuel, hydrogen, electricity, freight transport and passenger car sectors)"
- diffusion: 'technology mix based on coupled ESM</t>
  </si>
  <si>
    <t>- increasing energy efficiency of BEV based on literature values for 2040 and linear interpolation in between
- reducing GHG intensity of specific electricity generation technologies based on literature and extrapolation
- PV capacity: scenario-dependent
- carbon footprint of natural gas: based on assumptions for biomethane share ("assume a linear increase of biomethane in the NG grid from 20% in 2020 to 50% by 2050")
- Swiss electricity supply mix: ESM based on government strategy and electricity demand derived from the EBM model
- electricity supply mix of imports: based on ESM or only natural gas (scenario assumption)
- energy efficiency and indirect emissions of vehicle types: based on 2017 and 2040 values of  "Cox and Bauer [27]" with linear interpolation in between stagnation after 2040 (same values until 2050); see table 2
- market shares: 
-- for vehicles based on scenario-assumptions and stock-flow model
-- for the fuel system based on coupled model Open Energy Modeling Framework (oemof)
-- for the electricity system based on coupled ESM</t>
  </si>
  <si>
    <t>- battery technology market shares: literature-based scenarios
- changing country production market shares based on literature
- diffusion: changing market shares for the battery technologies taken from literature for the scenarios; novel, potential breakthrough technologies are not considered
- changing electricity supply mix according to IEA scenario (with fixed characterisation results per generation technology); changes not consistently applied to the BG (i.e. potential influence on other BG inventories not considered)</t>
  </si>
  <si>
    <t>"Although REMIND also models the production and use of H2, we do not use its projections for two reasons. First, its H2 production volume in 2020 is minimal and not in line with actual production (i.e., around 3 Mt). Second, REMIND limits the use of H2 to the industry, building, and transport sectors,17 which is not as comprehensive as the IEA scenarios."</t>
  </si>
  <si>
    <t>Monte Carlo, based on Pedigree</t>
  </si>
  <si>
    <t xml:space="preserve">- hybrid LCA in the BG: "The matrix representing inputs to the foreground system from the IO background system (Anf) is constructed in the following step-wise approach: (1) each foreground process is assigned to an IO sector. The foreground processes are assigned the same input distributions as their belonging IO sectors. (2) Inputs are scaled according to the costs (with value added deducted) apportioned to the specific foreground processes. (3) Inputs from the IO background that are already covered by the LCA database background system are removed."
- assess "economy-wide emissions savings from wind power" using the ecoinvent inventories and assuming that "additional wind electricity (measured in TWh) in the BLUE Map scenario, compared with IEA’s baseline scenario, replaces fossil-based power", "taking into account temporal evolutions in additional wind electricity in BLUE Map compared with the baseline, relative shares of onshore and offshore wind power, and relative shares of energy carriers (coal, natural gas, oil) in fossil power generation toward 2050" </t>
  </si>
  <si>
    <t>- the authors seem to apply a dynamic inventory, indicated by a statement in the model report (separate publication; "UKTCM allocates all manufacturing emissions to the year of first registration", see also Figure 29 in the model report); however, how other stages, e.g. disposal, are modelled, is not clarified in the paper or the model report; we assume that this is the case for all life cycle stages
- only new vehicles are considered; this is not further specified in the paper, but the model report (see above) contains this statement: "New vehicles are added and old vehicles are scrapped. Since the UKTCM is designed to evaluate the uptake of new transport technologies, only new vehicles are considered for life cycle analysis."
- the demand model can also be operated in "simulation mode", by defining the demand projections exogenously; we do consider this here because we consider it less interesting from a methodological standpoint</t>
  </si>
  <si>
    <t xml:space="preserve">- the study considers direct emissions from fuel use and material production (primary and secondary) only
- The sensitivity analysis is mentioned and results are shown, but what was actually done is not described. </t>
  </si>
  <si>
    <t>- specific assumptions for technological development of each lighting technology based on literature and US DOE roadmap (lifetime, efficiency, fabrication yield, mass heat of sink and electronic components)
- diffusion: scenario-based assumptions for market share of the different technologies
- BG changes according to THEMIS for the IEA BLUE Map scenario (see Hertwich et al. 2015); the authors mention that "Present and future electricity mixes in the model are based on the BLUE Map and Baseline (business as usual) scenarios", but the results are shown only for the BLUE Map scenario (see figure 5 and SI file "Bergesen et al. SI - scenario analysis.xlsx")</t>
  </si>
  <si>
    <t>SI1 is missing on the journal website (02/04/25)</t>
  </si>
  <si>
    <t>- explicitly refer to their ESM-LCA combination as ex-post: "The pathways can be compared based on the total indicator values of each scenario, which are calculated by combining the specific indicator values of all end-use technologies deployed in each scenario (as quantified in the third step) and the respective end-use energy demands (as quantified in the second step). So the quantification of the indicators is ex-post, i.e. based on the results of the scenario quantification."
- double-counting of LCA and ESM: "The energy system scenario studies with MCDA presented in Table 1, which use LCA indicators, do not mention this issue (Atilgan and Azapagic, 2016; Haldi and Pictet, 2003; Santoyo-Castelazo and Azapagic, 2014; Shmelev and van den Bergh, 2016). Similarly, studies on ex-post LCA of energy scenarios, e.g. (Berrill et al., 2016; Hammond et al., 2013; Hertwich et al., 2015; Kouloumpis et al., 2015; Laurent and Espinosa, 2015; Messagie et al., 2014; Portugal-Pereira et al., 2016; Portugal Pereira et al., 2014; Sokka et al., 2016; Vázquez-Rowe et al., 2015), do not address this aspect. Only few studies, e.g. (García-Gusano et al., 2016b), (Menten et al., 2015) and (Brand et al., 2012), discuss this problem. It is out of scope of this study to develop a consistent approach for dealing with this issue."</t>
  </si>
  <si>
    <t>- update the UKTCM (Brand et al. 2012) to include additional vehicle technology categories and improve the car diffusion model
- the authors do not explicitly say, if the demand modelling was based on the econometric approach or the simulation approach that the UKTCM offers (only information provided is: "Transport demand projections were modeled based on average demand elasticities (of GDP/capita, population and generalized cost) for the 1995–2013 period."); we assume that the econometric approach was used</t>
  </si>
  <si>
    <t>take lower-medium size vehicles taken as average for all passenger vehicles</t>
  </si>
  <si>
    <t xml:space="preserve">"Two main modules cover the building stock analysis: the energy demand model CHILLED (Cooling and Heating gLobaL Energy Demand model) and the stock turnover and decisions model STURM (Stock TURnover Model of global buildings). The framework is soft linked to the IAM MESSAGEix-GLOBIOM (Huppmann et al., 2019) for energy price signals and accounting of operational indirect GHG emissions."
</t>
  </si>
  <si>
    <t>- also include an LCC, which is not further discussed here as it is out of scope of the review
- The authors present future demand values for 2020 and 2050 (Table S2, SI) without specifying the units or explaining the derivation. The values for hydrogen are absent despite being mentioned in the table caption. To clarify the basis of the reported demand, the authors were contacted.</t>
  </si>
  <si>
    <t>only demand for ammonia as chemical considered, not as energy carrier</t>
  </si>
  <si>
    <t>- dynamic LCI: "Timing of emissions is addressed by a temporally dynamic LCI accounting for construction activity each year during the temporal scope."
- Although 16 impact categories are stated as part of the goal, only a subset is analyzed in the main text after assessing their relevance for a historical period.</t>
  </si>
  <si>
    <t xml:space="preserve"> 
</t>
  </si>
  <si>
    <t>- develop the Transport Energy and Air pollution Model for the UK (TEAM-UK), an enhanced version of the UKTCM (Brand et al. 2012); changes seem to be limited to one more trip purpose
- refer to detailed information in the model report, but the given link does not work anymore</t>
  </si>
  <si>
    <t>dynamic LCI of the fleet: consider the properties of the different cohorts for the emissions occuring from leakage and energy use (embodied emissions considered in the year that the vehicle is sold, average leakage and energy-related emissions of each vehicle over the lifetime considered for the specific year if the vehicle is still in operation, ...), see section 2.2.2. for details</t>
  </si>
  <si>
    <t>- "the only building components included here are the foundations, building structure, internal walls and floor elements, façade and exterior walls and roof."
- "carbon capture and storage, which is not accounted for in this study, since the point in time for its implementation is highly uncertain."</t>
  </si>
  <si>
    <t>based on Van der Voet et al. (2019); despite being published earlier according to WoS data</t>
  </si>
  <si>
    <t>"endogenous integration of the carbon footprint of the production technologies involved"</t>
  </si>
  <si>
    <t>- authors explain the LCA in detail but do not show how main non-LCA scenario parameters were derived only refer to previous publication (see table 1;  "More detail on all the other assumptions underpinning the scenarios was published previously (Kamran et al., 2021)."); previous publication used a DSM which is added here as coupled model
- "Battery pack dismantling was excluded from the model due to the lack of information on the associated processes at scale"</t>
  </si>
  <si>
    <t>- refer to a detailed description of the model in previous work Baumgärtner et al. 2021 which we used partially to fill this table
- Baumgärtner et al. 2021: "In SecMOD, we employ a rollinghorizon strategy with myopic foresight as decomposition method of the problem with perfect foresight (Grossmann, 2012). In the rolling-horizon strategy, the optimization is carried out over a limited horizon which covers only few investment periods. After each optimization, the variables of the first investment period within the horizon are fixed, and the next investment periods are recalculated with updated myopic foresight. Here, we set the myopic foresight to 15 years."</t>
  </si>
  <si>
    <t>similar to Hertwich et al. 2015; main differences are the LCIA at endpoint level and different inventories for the electricity generation technologies (based on a collection by the International Resource Panel)</t>
  </si>
  <si>
    <t>- IMAGE is used for the BG electricity mix scenarios as well as for inputs into the FG dMFA model
- assign the mitigation strategies to avoid ("More intensive use", "Lifetime extension"), shift ("Lightweight design", "Material substitution", "More recovery"), improve ("Energy transition", "Efficiency increase")
- refer to the changing electricity mix in the BG as "Energy transition", despite it only including electricity</t>
  </si>
  <si>
    <t>authors say that they did not consider reuse ("However, the environmental impacts of re-used 1 kg copper is not assessed in this study since the re-used process (remanufacturing or refurbishment) is out of the secondary production system boundary."), but show it as part of the results (see figure 5)</t>
  </si>
  <si>
    <t>if secondary supply (variable 3) is applied, they substract secondary supply potential from primary demand, in same shares for each production route as estimated (see bullet point above); if not "the recycling rates are frozen at the 2010 share"</t>
  </si>
  <si>
    <t>substitution (80% substitution rate assumed for recycled plastics)</t>
  </si>
  <si>
    <t>- "Life-cycle GHG emissions of plastics were compiled for three feedstock types while considering the effects of energy-mix transformation, different EoL-management options and different growth rates of plastics demand."
- "However, no specific life-cycle inventory data could be found for biodegradable plastics processing so far. Therefore, we assumed that the emission values for biodegradable polymers conversion are the same as conventional polymers."</t>
  </si>
  <si>
    <t>- use an improved version of the UKTCM (called TEAM-UK); main improvements include: "a wider range of outcome measures (air and noise pollution, land use change) and a more detailed passenger transport demand model"
- refer to report on the model for more information (https://d2e1qxpsswcpgz.cloudfront.net/uploads/2020/03/ukerc_wp_team_guide.pdf, last accessed by us 15/08/25)
- claim to have set up a "life cycle inventory model", but the model report (see above) reveals that aggregated characterisation results are used as in the UKTCM (see section 6.3.1 in the report)</t>
  </si>
  <si>
    <t>- the MFA model from which the demand trajectory is taken (https://alucycle.world-aluminium.org/public-access/) is called a dynamic MFA model by the authors, but does not fit the definition used by us (see method section of our paper) because it is based on static MFAs of multiple years without considering product lifetimes etc. (see Bertram et al., 2017 for details on the methodology); how the IAI makes the future scenarios is unclear because they only refer to Bertram et al. 2017 as methodology, which is a purely an ex-post study
- a repository is cited ("Pedneault, J., Majeau-Bettez, G. (2021) ‘PRISMAL Code’. http://doi.org/10.5281/ zenodo.4599725."), but the link leads to an error message</t>
  </si>
  <si>
    <t>- perform two assessments, one for all scenario in the IAMC database without connecting to impacts and one for 5 chosen  scenarios with connection to impacts; only the latter has LCA relevance and is added here
- "scope of our assessment encompasses the bulk materials iron and steel, concrete, aluminium, and copper in power plants (including all components required for their proper functioning, i.e. step-up transformers of power stations as well as framings and mountings of solar panels), conductors in transmission and distribution lines, pylons and foundations of overhead lines (except for low-voltage utility poles which are mostly made of wood), and transmission and distribution transformers. Regarding power plants, we differentiate between the technology types distinguished in the IAMC database (see SI). Electricity storage is only considered to the extent that pumped hydropower plants are included in the IAMC scenarios. Switchgear and all other components of substations except for transformers, fuel supply infrastructures like pipelines or coal excavators as well as upstream facilities (e.g., for uranium enrichment, bulk material processing etc.) are disregarded due to their limited relevance in terms of material requirements (Kalt et al., 2021b)."</t>
  </si>
  <si>
    <t>- authors mention 6 scenarios ("Six scenarios with four different technological foci are considered."), but describe 8 (4 technology scenarios and for each 2 demand scenarios); we assume that the 6 is a typo
- the inventories are not dynamic, meaning they are calculated assuming all life-cycle phases to happen in the same year ("The resulng life cycle inventories, normalized to a vehicle-kilometre"), but which year they are assumed to be representative of remains unclear
- "Effects of the COVID-19 pandemic are not considered since short term adjustments are small on a 5 year background and long-term trends are yet to emerge."
- "direct emissions from synthetic liquids are considered climate-neutral for simplicity."
- "our analysis does not include ethically troublesome practices, e.g. the artisanal mining of cobalt"</t>
  </si>
  <si>
    <t>- also include an LCC, which is not further discussed here as it is outside of our scope
- "Out of the scope of this work are the storage and distribution technologies of hydrogen"
- "Issues around metal depletion (for renewable energy generation and hydrolysers) are out of the scope of this study."
- "Complexities around geopolitical shocks to supply chains (...) are out of the scope"</t>
  </si>
  <si>
    <t>- "The annual material flows are multiplied by the material-level life cycle GHG emissions. Subsequently, the annual GHG emissions associated with the production, end-of-life disposal and treatment of construction materials used in Swiss residential buildings are determined by summing these products’ totals. "
- based on dMFA from Heeren &amp; Hellweg (2018), which we include as coupled model
- "calculate life cycle GHG emissions at the material level for the years 2015, 2035 and 2055, with GHG emissions for intervening years determined through interpolation"
- "other factors such as the decarbonization of industrial heat, material-specific GHG emissions mitigation strategies other than the ones for cement and steel, the mass deployment of alternative materials (e.g. bio-based insulation materials) and alternative end-of-life treatment and disposal pathways (e.g. increased reuse and recycling) are overlooked in the scenarios"</t>
  </si>
  <si>
    <t>- parametrize BG (only "energy technologies") and FG (only "heating technologies") to assess future scenarios
- explicitly differentiate FG and BG: "parameterized LCA developed in this work for the energy production (i.e., parameterized background LCIs) and heating technologies (i.e., parameterized foreground LCIs)"
- improve lca_angebraic and change version from v0.0.15 to v1.0.0
- we decided to include the modelling of unit heat consumption used to determine "the number of residential dwelling and the square meters of tertiary dwellings heated by a specific technology" as coupled model (see section S4 in the SI for details); we were not able to gather more information on the model because the main reference for it is missing</t>
  </si>
  <si>
    <t>- use the UKTCM (Brand et al. 2012), with two main updated: update fo the vehicle technologies ("UKTCM V2 now includes higher resolution and vintaging of small and medium sized battery electric vehicle (BEV) cars, mini and urban BEV buses, BEV vans and BEV medium trucks") and updating the modelling databases ("to the latest historic data sources and projections into the future of key modeling inputs, including economic, demographic, transport demand, energy and vehicle technology data")
- other focus than the original publication, as only including cars, not other modes of transport</t>
  </si>
  <si>
    <t xml:space="preserve">- define ESM covered processes as the FG and "Processes located outside of Switzerland that directly and indirectly support the Swiss energy system" as BG 
- no dynamic LCI: "Currently, the demand for materials is linearized, i.e., evenly distributed over the entire lifetime of each infrastructure component due to the nature of LCA, smoothing out peaks and troughs. Although this approach preserves cumulative material demand, it does not accurately reflect the temporal dynamics caused by the installation, operation, and decommissioning phases –information usually provided by ESMs and IAMs." </t>
  </si>
  <si>
    <t>- "The background life cycle inventory for Switzerland-based processes considers changes in the production system as modeled by STEM.", indicating that the authors define the Swiss energy system also as the BG and contradicts the definition in the companion paper (Hahn Menacho et al. 2025, also reviewed here), in which the ESM covered processes are defined as the FG and "Processes located outside of Switzerland that directly and indirectly support the Swiss energy system" as BG 
- "To ensure consistency across the STEM scenarios and the LCA database, each variable representing energy conversion, transmission, distribution, and consumption within the STEM framework is harmonized and linked to the corresponding life cycle inventory. This process ensures that technological parameters, process efficiencies, and energy markets modeled in STEM are accurately reflected in the life cycle inventories used for impact assessment."</t>
  </si>
  <si>
    <t>- call their related framework FRITS: "FRamework for the assessment of environmental Impacts of Transformation Scenarios"
- dynamic inventories:  "To correctly allocate the environmental impacts in time in line with the outputs of MESAP, the LCI data sets are divided into two life cycle phases: construction and operation."
- define FG and BG explicitly for ESM LCA integration: 
-- "The foreground system is defined as all conversion technologies that are used in the ESM. The background system comprises all flows and activities that are outside the system boundary of the ESM."
-- "In MESAP, the foreground system comprises all sectors and technologies generating electricity, heat, non-fossil fuels (biofuels, power-to-liquid (P2L)), non-fossil gases (biogas, H2 and synthetic CH4) and road transportation (passenger and freight). Note that since many current scenarios for Germany assume a net import of electricity and/or synthetic fuels and gases, the electricity generation and conversion technologies used abroad for this purpose are also treated as foreground technologies in FRITS."
-- "In MESAP, the supply of fossil fuels and gases, as well as uranium, and the construction of energy technologies and auxiliary infrastructure are considered outside the energy system. The LCI data of those (background) processes rely exclusively on the ecoinvent database."</t>
  </si>
  <si>
    <t>- build on Technology Choice Model (TCM) work of Kaetelhoen et al. (2016); expand to both FG and BG and enable constraining specific economic and environmental flows, 
- "The objective function is defined as the environmental impact category to be minimized."
- degrees of freedom: choice of the technology and the region (represented in rectangular matrix)
- PULPO is static: solves for each time period individually (optimising its environmental impact) and not simultaneously (no perfect foresight, no recursion)
- the Zenodo repository belonging to PULPO (https://doi.org/10.5281/zenodo.13684022) contains more case examples, two of which are also explained in the SI but not included in our review as they are not part of the main article</t>
  </si>
  <si>
    <t>- create a framework for GHG emission scenarios of vehicle fleets (FLAME, Fleet Life Cycle Assessment and Material-Flow Estimation), consisting of 4 modules, of which the first three form a dMFA (although not referred to as that by the authors) and the last one adds LCA characterisation results
- the smaller models used to derive the values for single parameters (e.g. for the fuel consumption savings from vehicle weight changes) are not included as coupled models here as they are not relevant for the objectives of our review
- dynamic LCI: "All the vehicle upstream processes (i.e., material production of steel and aluminum components, manufacturing and assembly) occur at the vehicle sales year. (...) The fuel production and use phases occur along the vehicle lifetime in the fleet and simultaneously. (...) The end-of-life stage takes place when the vehicles are scrapped."</t>
  </si>
  <si>
    <t>- use FLAME (Milovanoff et al. 2019); the version of FLAME is not made explicit, so that it remains unclear if FLAME was updated
- unclear if the lightweighting strategies of the original FLAME paper were applied for the fleet-level analysis here as well</t>
  </si>
  <si>
    <t>'Based on framework explained by the authors in previous publication (https://doi.org/10.1111/jiec.13072): "we perform the following adaptations to the classic LCA model: (a) Modularization of the LCA technology matrix A into vintage-variable foreground and timevariable background systems, (b) Modeling each life cycle stage as an independent system, and (c) Creating time–vintage-variable final demands, using the outputs from Module 1 (i.e., product inflows/outflows and stocks)." &amp; "In our framework, the product stocks and flows of a system are time variable and represent the demands for the different life cycle stages of the IBM and CBM. For example, in a given year, there can be in use x number of products, but the demand of manufacture of new products is not the same, because most of the products in use were fabricated in the past."</t>
  </si>
  <si>
    <t>- based on Hertwich et al. 2015 (all inventories for electricity generation technologies taken from them), additionally including transmission and storage requirements and and not using IEA scenarios and a DSM but coupling an ESM
- the GDP projections shown in the SI are only used for weighting the technology-level results for the regions to get a global average and is thus irrelevant for the macro-level
- the SIs that are referred to are the ones of Gibon et al. 2015 and Hertwich et al. 2015, the article itself does not have any SI</t>
  </si>
  <si>
    <t>- "Each turbine's future electricity production is estimated from its power curve and geo-localized wind time-series."
- no dynamic inventories: "The environmental performance of the fleet for a given year is calculated as the sum of the life cycle impacts of the wind turbines being part of the fleet that same year divided by the sum of their electricity production"
- estimate the effect of BG changes, by comparing "with a hypothetical scenario where the fleet is fully manufactured in 1980", which we do not count as scenario or sensitivity analysis as it is only used and mentioned or this purpose (not mentioned in the methods, no results figures shown for it, ...)</t>
  </si>
  <si>
    <t>- "temporally explicit life cycle inventory": "we identified the timing of capacity additions, operations, repowering, and removal of power plants in the scenario (35). We delineated the life-cycle impacts into these phases. Therefore, the figures reflect the timing of resource use and emissions, not the timing of electricity generation. The inventories associated with each life cycle step reflect the technology status and electricity mix of the year in question."
- the authors conducted a sensitivity analysis on the transport distance of fossil fuels (see SI), but as this is only at technology-level, we do not include it here as sensitivity analysis
- some of the information here is based on the companion paper Gibon et al. 2015 (https://doi.org/10.1021/acs.est.5b01558): 
-- the BG of each FG flow is covered by either EXIOBASE or ecoinvent with no interaction between both, thus avoiding any double-counting, but potentially causing inconsistencies (companion paper Gibon et al. 2015. "economic sectors are assumed to give a complete representation of the economy, and process life cycle inventories are not hybridized. Double-counting is assumed to be avoided at the data collection stage")
-- geographical mapping of EXIOBASE and IEA regions: "formed by aggregating the countries and regions from the EXIOBASE database" and breaking down the RoW block of EXIOBASE using "GTAP individual countries' total economic output in 2010"
-- "The exogenous scenarios altering the original databases are applied in a complementary manner. The NEEDS inventories mainly address industrial processes, whereas the IEA scenarios describe electricity sectors. They are therefore not consistent with each other in a strict sense; however they align with the same target (i.e., a 2 °C global warming by 2050)."
-- use levelized costs of electricity from an IEA report to convert kWh to monetary units</t>
  </si>
  <si>
    <t>- "ECOPT2 in its currentformacts as an ex-post analysis, using output from these models as exogenously defined data,without incorporating feedback dynamics."
'- authors show a "stylized scenario with two fictitious regions";
- dynamic LCI: "Life cycle impacts for the vehicle stock are computed, with manufacturing impacts occurring in the year of introduction, annual operating emissions, and end-of-life impacts occurring in the year of vehicle retirement."</t>
  </si>
  <si>
    <t>- very similar to Nagler 2021 (also reviewed here), just without the MCDA and economic assessment
- explicitly refer to Naegler et al. 2021 (also reviewed here) for details on the re-modelling approach and Junne et al. 2020 (also reviewed here) for details on the LCA framework (FRITS)
- mention "differences and further developments compared to "Junne et al. 2020, but none are described</t>
  </si>
  <si>
    <t>- assess 10 scenarios based on approach of Junne et al. 2020 (also reviewed here), expanded with macro-economic model that is used separately from the environmental assessment (not relevant for our review) and an ABM power market model (flexABLE)
- evaluate 23 indicators, of which 16 are environmental (all calculated using FRITS) and thus relevant for our review (only associated limitations, methods etc. are accounted for here)
- the macro-economic model (PANTA RHEI) is use for the assessment of macroeconomic impacts only, separate from the LCA, which is why we do not include it as coupled model</t>
  </si>
  <si>
    <t xml:space="preserve">- same as Navas-Anguita et al. 2020 (also reviewed here), just expanded to include "consideration of SMR plants' retrofit with CCS."
- only hydrogen demand of the transport sector, other sectors not considered
</t>
  </si>
  <si>
    <t>- although not mentioned in the main text of the article, another IAM (IMAGE) is used to determine the demand for residential heating (see SI)
- dynamic inventories: "Emissions from the production phase were fully allocated to the year in which a car or heating system is produced, and end-of-life emissions to the year of its disposal (assuming average lifetimes of 10 yr for cars and 20 yr for heating systems)."</t>
  </si>
  <si>
    <t xml:space="preserve">- it is unclear to us what the authors mean with "cradle-to-product", especially since they claim to have included "the waste management stream"; out overall interpretation is that it is cradle-to-use
- double-counting (see Volkart et al. 2017 and Blanco et al. 2020) not addressed
--the information on the exact interaction of the models is scarce in the paper; our interpretation is: POLES provides the future capacities for each generation technology and EUTGRID then optimises the dispatch for an environmental indicator (GW in the paper); environmental instead of conventional economic merit order </t>
  </si>
  <si>
    <t>- optimise for climate change impacts
- represent sorting efforts by number of bins (exogenous parameter)</t>
  </si>
  <si>
    <t xml:space="preserve">- subtract the "avoided product" from pervoskite r-BIPV ("1 kWh of electricity produced by a PSK module avoids the production of 1 kWh from a c-Si cell") and f-BIPV ("a 1 m2 vertical façade occupied by a PSK module avoids the production of an equivalent glass surface; moreover, the electricity produced by the module prevents an equivalent amount of electricity withdrawn from the grid.") installations
- authors also conduct a LCC, which is only covered here insofar it is relevant for the environmental assessment
- the authors show in figure 1 that the national-level results are calculated for both r-BIPV and f-BIPV applications, but in the end they only calculate national level results for f-BIPV PSK systems because they did not find r-BIPV systems PSK to be cost-effective compared to c-Si PV ("According to the results of the model, the substitution of c-Si PV modules with PSK systems would not provide economic benefits to energy users. Therefore, PSK systems are not expected to find a large space in the r-BAPV market based on economic criteria.")
- It appears to us that the authors are not aware that their use of the adapted ecoinvent database provided by Beltran et al. (2018) does only entail changes from the BG electricity mix ("Nevertheless, as LCAs are based on background datasets like Ecoinvent [60], prospective analyses should also consider the future evolution of the background databases. This operation is made possible by the adoption of a background superstructure expressing the expected changes of Ecoinvent 3.7 [60] based on the soft targets of the Paris agreement as a background scenario, also called “IMAGESSP2SS” according to the nomenclature proposed by [73]."). This might mislead readers to assume a consistent change of the whole BG database for future scenarios, which is not the case. </t>
  </si>
  <si>
    <t>- this paper must be seen in combination with Söderman et al. 2016 (also reviewed here), which contains more details on the methods, but less on the case studies
- explicitly define FG and BG: "The system can be divided into two parts—foreground and background. The foreground system includes the core waste management system, including collection, transportation, separation and treatment of waste. The background system consists of up-stream and down-stream processes representing production of fuels, electricity and materials used by the foreground system and the avoided processes for alternative production of resources recovered from waste (energy, material and nutrients) in the foreground system."
- the ORWARE model is not included as coupled model as it is not relevant for our research question
- "changes in waste trade were not considered"</t>
  </si>
  <si>
    <t>- this paper must be seen in combination with Arushanyan et al. 2017 (also reviewed here), which contains more details on the case studies, but less on the methods
- explicitly define FG and BG: SWEA can be represented as consisting of a foreground system, corresponding to the WMS in NatWaste, and a background system. The foreground system includes collection, transportation, separation and treatment of the different waste categories, while the background system includes process models of the production of fuels, electricity and materials used by the foreground system. 
- "Data transfer between the three models is achieved by means of a “soft link” set up, meaning that numerical data are transferred manually between the models"</t>
  </si>
  <si>
    <t>- the authors conduct a dynamic MFA and a LCA separately, the former to determine the critical raw material requirements from batteries and the latter to assess the GHG emissions from fuel use (see Figure S1)
- the authors write that the market share of drivetrains depends on the dMFA model ("The transportation shares for each vehicle category for public and private passenger transportation, and last-mile and long-haul transportation are assumed based on the annual stock share from the dMFA model."), but do now show this connection in the schematic methods figure (figure S1) and describe market shares for EVs and ICEVs as input data into the dMFA; we interpret this in the way, that the same scenario-based assumptions for the market shares were put into the dMFA and the LCA model, but there is no coupling between the LCA and the dMFA
- in 2025, an addendum was published (https://doi.org/10.1038/s41467-025-57270-2, addressing "ambiguousness in the “Requirement of critical metals” of the Results section."), which was considered for the review here as well
- the authors (to the best of our knowledge) never explain the source for the energy intensity (MJ per tkm or pkm for each vehicle type), despite it being shown in the schematic representation of the methods (see figure S1)</t>
  </si>
  <si>
    <t xml:space="preserve">The authors build extra scenario only for iron and aluminium to test the effectiveness of a recycling share: "We expanded this scenario until 2100 to allow for sufficient time for secondary production to increase substantially also in a relative sense. We assumed an average life span of applications of 30 years and a recycling rate of 90%. We assumed demand to increase as before until 2080, and after that we assumed it to increase at a slightly lesser rate, as a result of the stabilization of the global population that is expected to occur." This scenario was not added to the main scenarios as it was not applied for all metals. </t>
  </si>
  <si>
    <t>- "The requirement in terms of CDR (i.e., DACCS in this case) is calculated iteratively to attain the mitigation scope andmitigate the emissions of its operation."
- no dynamic inventories / vintage tracking: "we do not consider the weighted age of the fleet but instead assume that the fleet is composedofnew aircraft. For example, the 2050 fleet consists only of aircraft manufactured in 2050."
- authors also conduct a cost analysis, which is not further considered here according to our research objectives
- no rebound effects from changing demand considered
- no modal shifts considered</t>
  </si>
  <si>
    <t xml:space="preserve">- use an MILP optimisation model (minimising net life cycle GHGs emitted from 2020 to 2050); constrained by dMFA mass balances, assumed availability of certain battery technologies and European manufacturing and recycling capacity giving European batteries manufacturing and secondary material share for minimising GHG emissions
-  simplify the recycling capacity and production capacity in one number for the European industry (see 3.1), as only recycling of materials is considered (for the manufacturing it does not make a difference if the materials are primary or secondary)
- It appears to us that the authors are not aware that their use of the adapted ecoinvent database provided by Beltran et al. (2018) does only entail changes from the BG electricity mix ("For this purpose, Beltran et al. [38] created a very powerful tool based on a set of background parameters, named superstructure, that replace with future previsions the default input and output values of the life cycle inventory database (specifically Ecoinvent 3.7) processes [55]. Such a background superstructure [38] and a modified version of Ecoinvent 3.7 [56] are both uploaded in Activity Browser [57], a new LCA software designed for scenario-based prospective environmental analyses [58]."). They do not explain this anywhere in the paper and which version of the adapted ecoinvent database they actually use only becomes apparent in SI2 ("ei37_cutoff_IMAGE_SSP2_SS"). This might mislead readers to assume a consistent change of the whole BG database for future scenarios, which is not the case. </t>
  </si>
  <si>
    <t xml:space="preserve">- include myopic investment decisions in the model used in Zibunas et al. 2022 (also reviewed here) by including a rolling time horizon for the decision-making
- "This study uses the bottom-up model from Meys et al.1 and the cost extension from Zibunas et al.1"
- "Please see the publications of Meys et al.6 for details on process data and process-specific GHG emissions and Zibunas et al.1 for details on costs."
- "Since, for long-term decision-making, the foresight matches the assumed 30-year lifetime of plants, all future operational and carbon pricing costs of a new plant are included in an investment decision. In contrast, a 20-year foresight excludes some of a new plant’s future operational and carbon pricing costs from the investment decision."
</t>
  </si>
  <si>
    <t>- the SD model of the authors combined the Bass diffusion model with dMFA elements
- explicitly differentiate FG and BG system: "Themodel is structured in a foreground and a background system (Figure 1). The foreground system (Section 2.3) includes the market behavior, the production and recycling process chains, and its efficiencies. In the background system (Section 2.4), the locations of the processes are modeled, including the current and future local energy systems used."
- BatPaC is not included under "coupled models" because it is a process models, not adding to the scale or prospectivity
- "remanufacturing or second-life applications are excluded from the scope of the study."</t>
  </si>
  <si>
    <t>- How the optimisation works in short: "Disruptive changes result when a low-emission technology substitutes all corresponding depreciated fossil plants. This substitution only occurs if the lowemission technology’s total annualized costs are lower than the operational costs of the already depreciated fossil plant. Before each disruptive change, the operational costs of the low-emission technology and the fossil technology break even. After the breakeven point, the chemical industry gradually deploys the lowemission technology to replace decommissioned fossil plants or satisfy growing demands."
- "For a detailed description of included processes, we refer to Meys et al. (2021). In the present study, we expanded the model with operational and capital costs"
- no dynamic LCI: "The GHG emissions from the end-of-life are assigned to the chemical’s production year."
- the vintage stock model for the production capacities is only indirectly relevant for the LCI because it is only used for the investment decisions, therefore we did not include it as system scaling model</t>
  </si>
  <si>
    <t>- apply various optimisation goals: only cost, only environmental, multi-objective optimisation
- "exclude retrospective environmental effects from past installations (as these have already happened)"
- dynamic inventories through the separation of infrastructure and operation: "This separation ensures the avoidance of using inconsistent lifetimes and total energy production amounts which are otherwise predefined in the original LCI dataset. Additionally, this distinction enables the timing of the infrastructure installation and of the operation processes to be differentiated. Thus, we can exclude retrospective environmental burdens (e.g. elements already built) and consider the changes in the technologies, implemented in the prospective foreground and background LCI."</t>
  </si>
  <si>
    <t>- "The approach presented in this study allows avoiding the double-counting ofthe fuels used in the supply chains of the infrastructure mentioned by Loulou and Van Regemorter (2008) by eliminating all fuel-related impacts from the infrastructure phase. It also allows replacing the decomposition step of Arvesen et al. (2018)’s approach by isolating the energy flows directly in the LCA indicator calculation step and by further differentiating the operation phase. The approach ofGarcía-Gusano et al. (2016) is complemented as our approach allows to differentiate the impacts by direct, indirect and infrastructure life cycle phases. The approach presented in this study provides a solution for modelling frameworks without an input–output analysis, as opposed to the ones presented in Brand et al. (2012) and Igos et al. (2015)."
- dynamic inventories: differentiate upstream, operation and infrastructure -&gt; "Impacts related to operation occur whenever the technology is operated (i.e. impacts per output), while impacts related to infrastructure occur whenever new capacity is installed (i.e. impacts per installed capacity). This differentiation allows for the consideration of the temporal distribution of the impacts based on the construction and operation activities."
- "The study is part of the academic thesis of Kathrin Volkart (Reference: Volkart, 2017). Long-Term Technology-Based Multi-Criteria Sustainability Analysis of Energy Systems. ETH Zurich, Switzerland. https://doi.org/10.3929/ethz-b-000183149)."</t>
  </si>
  <si>
    <t>- the system boundaries are not fully clarified, i.e. which sectors are included in ELTRAMOD and covered by LCA data
- authors do not specify how they dealt with double-counting issues
- in the general description of the framework and its graphical representation (figure 1), the authors address feedback between the ESM and LCA ("The interrelation between LCA and ESM might lead to an iterative feedback loop. The energy mix derived by the ESM should be used as an input of the LCA. The resulting life cycle environmental impacts of each technology could affect the environmental performance of the identified transformation pathways, leading to a possible necessary adjustment of the pathways, if e.g., policy targets are violated."), but this it not mentioned or the case study and the relevant arrow is not shown in the graphical representation (figure 2), which is why we assume that the LCA results are not relevant for the ESM configuration</t>
  </si>
  <si>
    <t>- "Specifically, ESA was used to identify the response of the energy systems to the availability of imported waste in the receiving country (i.e. Denmark), while effects on energy systems and waste management operations in exporting countries were modelled through scenarios reflecting a large variety of conditions in potential exporting countries without district heating"
- just focus on the avoided fuel consumption, neglecting infrastructure etc., e.g. wind turbines have no impacts
- specifically define their FG and BG: "The foreground system consists of induced waste management activities that start where waste is traded on the waste management market (background system) to the point where energy outputs are exchanged with the background systems through respective markets in the importing country. Thus, the background system represents economic activities responding to interactions with the foreground system, in this case represented by energy production activities, including fuels production (e.g. woody biomass production), and waste treatment activities (Cimpan et al., 2015)."
- GLOBIOM is not included as coupled model because we interpret the section in which it is mentioned so that it was used in the paper that the "Short to long-term affected supply of biomass was based on" and not by the authors themselves, mainly because it is only mentioned once</t>
  </si>
  <si>
    <t>- also conduct a consequential LCA of PtM, but only on technology-scale, irrelevant for our review
- "In this study, there is no feedback from LCA to the optimization process."
- "LCA for insulation and upgrade in buildings has not been included."</t>
  </si>
  <si>
    <t>- change landfilling rates: in all scenarios assumed "to decrease from 49 % in 2020 to 6 % in 2050"; based on literature (Geyer et al. 2017)
- market shares of technologies based on linear optimisation for cost with DSM constraining the investment decisions (myopic decision marking explicitly modelled) and assumed time of availability for the technologies
- changing global warming characterisation results of electricity supply: scenario dependent (IEA scenario or linear interpolation from 2020 value to 20 gCO2eq/kWh in and after 2030)</t>
  </si>
  <si>
    <t>- "The power systems’ environmental impacts were calculated for each IAM model region, scenario and technology by multiplying the capacity additions and operation as derived from the IAMs with LCA impact coefficients derived with THEMIS and then aggregated to the global totals shown in the analysis of the paper." - review file  
- "Following recommendations of ref. 26, we combine LCA energy coefficients broken down into life-cycle phases (i.e., construction, operation and end-of-life phases for each power-generation technology) and energy carriers (solid, liquid and gaseous fuels, and electricity) with IAM scenariospecific data (including emission intensities of electricity and other energy carriers, load factors of power plants, and power-generation capacity and generation), in order to estimate direct and indirect emissions associated with combustible energy carriers."
- “Our combined IAM and LCA analysis captures the different timing of infrastructure and operational effects, allowing us to apply LCA impact data (e.g., emission factors) to the appropriate years when activities occur. It also allows us to capture the need to make upfront infrastructure investments for electricity generation later, the relevance of which has been noted by others88,89."
- potential inconsistency: IAM scenarios for the electricity system but THEMIS scenarios, which are based on IEA modelling, for the coefficients (Arvesen et al. 2018: "A possible future improvement when THEMIS is used in conjunction with an IAM, however, would be to obtain scenario data inputs to THEMIS specifically from the IAM in question, thus enhancing harmonization of scenario data across the LCA and IAM modelling.")
-- Peer review file (part of the SI): "Are the electricity mixes for the ecoinvent adaptation taken from the analyzed IAM scenarios, or were different scenarios used? The ecoinvent adaptation was based on the IEA Reference / BLUE Map scenarios (addressing electricity mixes and energy/material efficiency improvements for key industries), as this is the only adaptation currently available in THEMIS."
-- this is only partially relevant because the emission factors in REMIND are considered for the energy use (including the carbon intensity of the grid mix): “In order to make this clearer, we adjusted the text in the Methods, LCA modeling. In relation to this, note that we integrate life cycle energy flows (including electricity flows) derived from the LCA with IAM scenario-specific emission intensities, as explained in Methods, Integration of IAM scenarios and LCA. This means that in practice, emissions associated with electricity are largely consistent with the IAM scenarios." (peer review file)</t>
  </si>
  <si>
    <t>- FG LCA processes are dissected to build a static MFA of the FG (including TCs), which can be used to maintain implement circularity strategies in the LCA FG while maintaining mass balance ("To align the LCA inventory processes with an MFA approach, the inventories are adapted by removing material flows that are part of the MFA from the LCA data inventory input.")
- authors present a model applicable to different sector and show an example based on the German passenger car fleet, which is what we focus on here</t>
  </si>
  <si>
    <t>- "In short, by means of the simplified stock-flow cohort model (see Sections 2.1, S.5.1 and S.5.2.1), the evolution of a legislation compliant Swiss EBM passenger cars fleet is modelled. The annual and hourly fuel demand of this EBM fleet is calculated by means of their specific tank-towheel (TTW) consumptions and a “Direct Use of Observed Activity-Travel Schedules” (DUOATS) model. The evolution of the Swiss and European electricity supply mix is obtained from the EUSTEM least-cost optimization (see Sections 2.2, S.2 and S.6). Specific life-cycle (LCA) GHG emissions of electricity generation and EBM powertrains are taken from the ecoinvent database (see Section 2.4 and S.7). Eventually, the hourly GHG content of the used EBM fuels (incl. electricity) are calculated by means of the EBM fuel supply chain model (see Sections 2.3, S.1, S.3 and S.4) to yield the specific GHG emissions of each EBM powertrain for each investigated scenario with respect to domestic PV expansion, import electricity GHG content and potential for sector coupling (i.e. curtailment avoidance)."
- in figure 1 the authors show that the "Number of passenger cars" would be used together with "Specific TTW fuel consumption" to model the "Hourly charing profiles", but in the text they describe the total annual mileage as independent from the number of vehicles
- we interpret the written elaboration of the methods so that the stock-flow model provides the number of cars to calculate the indirect emissions (something that is omitted in Figure 1) and the share of each vehicle technology for the hourly charging profiles
- the authors mostly refer to the emissions of EBM powertrains alone, but include a scenario without EBM powertrains at all, which is why we interpret the study so that the emissions from non-EBM powertrains are also included in the results</t>
  </si>
  <si>
    <t>Additional details</t>
  </si>
  <si>
    <t>- the authors define 4 sensitivity scenarios, of which 2 are simply the main scenarios assessed
- the authors use a combination of ecoinvent and an IO-LCA database as background, referring to the latter as "economic background system", but as shown by the cited source (Suh et al. 2005) the database contains environmental data as well; the authors give very little information on the combination of the two databases
- the authors to not define the system boundaries explicitly; we interpret it such that the electricity generation itself is also included in the assessment, as indicated for example by the figure captions "total Global Warming Potential (GWP) from coal and natural gas based electricity for each scenario" and the definition of the FG ("power plant and Carbon dioxide Capture and Storage are modeled in the foreground")</t>
  </si>
  <si>
    <t>Prospective Macro-Level Life Cycle Assessment: A Systematic Review</t>
  </si>
  <si>
    <t>- refer to the co-products from the tailings processing as "secondary products" (CSA cement, ceramic tiles, ordinary Portland cement (replaced by co-product geopolymer), primary copper, primary zinc, sulfuric acid, district heating (replaced by co-product heat))
- the copper demand scenario is only used to compare the potential tailings supply to and for the constraint of the market uptake of co-products
- "this study only focuses on tailings assessment for active copper sites, as the site-specific tailings data from abandoned mines or closed operations are not completely available"</t>
  </si>
  <si>
    <t>- changing composition of building stock by archetype and components based on scenario-inputs to the dMFA
- renovation of buildings and change of building components considered, including changing space heating technology
- 33 scenario parameters for all of which a low, medium and high ambition trajectory is defined (fixed values for 2030, 2040 and 2050 and linear interpolation in between; see SI)
- BG changes based on premise REMIND with SSP2-Npi, SSP2-NDC, SSP2-PkBudg1150, SSP2-PkBudg500 (additional premise scenarios for sensitivity analysis)
-- made more Austria specific by overwriting/adding electricity/district heat markets according to "the latest scenarios of the Austrian Environment Agency" and adding inventories "the future production of cement, bricks and steel" from Austria-specific literature</t>
  </si>
  <si>
    <t xml:space="preserve">- assume Best Available Technology today as the average in 2030 ("The ambition has been to collect process data corresponding to Best Available Technology (BAT) with the rationale that current BAT can be a reasonable assumption for average data in 2030.")
- market shares of waste treatment technologies: based on costs, determined through coupled model
- electricity supply mix: in the reference scenario changes according to scenarios of the Swedish Energy Agency, for the other 4 "created in accordance with the scenarios descriptions [20] and using average electricity mixes for similar scenarios in Björklund [50]"
- heat mix: "The average heat mix for the reference scenario is based on the forecast made by Swedish District Heating Association [51]. The average heat mixes for the remaining scenarios were created in accordance with the scenarios descriptions [20] and double checked for consistency with the electricity scenarios."
- fuel mix in trucks, buses and cars: "generated based on the scenario descriptions [20], average fuel mixes for the scenarios from Björklund [50] consistent with the scenarios in the current project and taking into account the forecast by Swedish Energy Agency [49]."
</t>
  </si>
  <si>
    <t>- fuel efficiency: specific improvements assumed for different periods and varying by vehicle type
- energy resource and fuel prices: based on government forecasts and scenario assumptions
- pre-tax vehicle purchase cost and non-cost parameters: vehicle technology specific assumptions
- diffusion: 
-- vehicles: same as Brand et al. 2017 (segmented discrete choice model); "New vehicle choice is modelled endogenously using a hybrid discrete choice and consumer segmentation model, as described in Brand et al. [74,75]."
-- rail, shipping and aviation: "simplified discrete choice model (based on costs, performance and market availability), including short, medium and long haul aircraft powered by Jet-A/kerosene (incumbent), electric, bio (blends) and hydrogen fuels"
- electricity supply mix: "Emissions from electricity generation and transmission were based on central UK government forecasts of energy consumption and emissions [43].", but presumably it is the same as in Brand et al. 2020, which is based on the same model report that the authors refer to here</t>
  </si>
  <si>
    <t>- energy efficiency improvements: fixed per year improvements assumed ("1% annual improvement for ICEVs, 1.5% annual improvement for BEVs")
- recycling share: scenario-based assumptions
- market shares of powertrains: scenario-based assumptions for goals in target years and linear interpolation in between 
- characterisation results for vehicle body manufacturing: changing over time, adopted from GREET (US) and literature for China and the UK
- characterisation results for battery production: 
-- the authors show country-specific assumptions in table 1, but say that "BEV batteries are assumed to be manufactured in China", which seems to be a contradiction
-- this makes it unclear to us if changes over time are considered, as projections are only mentioned in table 1, but not when explaining the factors for China directly "generic emissions factor is used based on the average of all Chinese manufacturers in 2021 to account for the battery technology mix (44.3% LFP, 3.4% LMO, 49.6% NCM/NMC, and 2.8% Others) and assuming BEV batteries are manufactured in China"
- characterisation results for primary metals (both in vehicle and battery): changing over time, adopted from GREET (US) and literature for China and the UK; for the UK only battery material emission intensities are projected, the others remain constant
- electricity grid mix: country-specific projections for the ‘decarbonized grid’ scenarios, all based on literature</t>
  </si>
  <si>
    <t>- paper includes 2 case studies, of which one is for Singapore; as city states are out of scope of our review, we only include the case study on Norway here
- only report climate change results in the main text at macro-level, all other category indicator results are shown normalised to total production quantity to facilitate the comparison of their two cases studies
- the authors refer to a consumption-based perspective, meaning the life cycle perspective of the study; they look at the environmental impacts of the production in Norway, no matter where that fish is consumed in the end ("This illustrates the relevance of the consumption-based perspective when defining climate change or other environmental targets. Indeed, the globalization of food supply chains prevents from considering countries as independent elements except in very specific cases, like those presented in this study"")
- The PEM model AsiaFish is not used to determine the future production amounts, as these are directly assumed (see Table A3 in the SI), but only to see what implications these scenarios would have on consumption, imports and exports. The authors never state this directly, which is why one could easily assume that the PEM was relevant for the LCA results at large-scale, but it is not. 
- the authors conduct a sensitivity analysis on the PEM results for Norway (see SI Table A9), but do not propagate this to the LCA results, which is why we decided not to include it here</t>
  </si>
  <si>
    <t xml:space="preserve">- water and energy need: 5 to 15% decrease depending on assumed technological maturity of the production category (see Table A12 in the SI)
- feed conversion ratio: constant over time for sea cage production, "decrease to 0.8 in 2030 for RAS and 1.1 in 2040 for offshore systems"
- changing feed options based on scenario-assumptions
- technology diffusion: scenario-based assumptions for diffusion of production and feed systems
- changing electricity grid mix (inventories constant over time), but do not provide any other information in the main text and SI than "Hydropower remains predominant but introduction of wind power" (see table 3)
</t>
  </si>
  <si>
    <t>- adapt UKTCM (Brand et al. 2012) for Scotland --&gt; Scottish Transport Energy and Air pollution Model (STEAM)
- very close to UKTCM, which can be seen from the authors referring to detailed descriptions in the original UKTCM documentation ("A detailed description is beyond the scope of this paper, and most of the methods have been published elsewhere (Brand 2016; Brand et al. 2017, 2012)."</t>
  </si>
  <si>
    <t>- conduct a technology-level assessment (including costs) for different biofuel feedstock to select one option for the macro-level; we consider only the macro-level analysis here
'- "Other parameters, such as water and soil requirements, also vary across regions in practice, but are not included in this study due to the lack of specific data for all the regions considered."
- "other logistic aspects, also neglected here (e.g., the possibility to maintain or not the refueling infrastructure or the truck fleet)"</t>
  </si>
  <si>
    <t xml:space="preserve">- share of heating technologies: modelled based on dwelling types and age, renovation assumptions (including efficiency improvements and rebound), degree days and "RTE models"
- energy carrier for specific heating technologies: partially modelled through adjusting market processes for district heat (e.g. changing the fraction of district heat from oil to 0) and gas grid (share of biomethane)
- energy efficiency improvements of buildings from renovation
- inventories of 4 heating technologies: change 10 of the parameters that were "expected to evolve" for 2030, 2040 and 2050 based on expert judgements and literature
- changing electricity supply mix, scenario-based
- inventories of 4 electricity generation technologies: change 17 of the parameters that were "expected to evolve" for 2030, 2040 and 2050 based on expert judgements, government strategies and literature
</t>
  </si>
  <si>
    <t xml:space="preserve">- LCI data for energy generation technologies adjusted to ESM assumptions (COP, lifetime, full load hours, ...)
- in BG only electricity supply mix changing according to 2C and 5C scenarios from Teske et al. (just the ecoinvent market)
- market shares: input into the ESM, not output; scenarios from literature
</t>
  </si>
  <si>
    <t>- LCI data for energy generation technologies adjusted to ESM assumptions (COP, lifetime, full load hours, ...)
- in BG only electricity supply mix changing according to 2C scenario from Teske et al. (just ecoinvent markets)
- market shares: input into the ESM, not output; scenarios from literature</t>
  </si>
  <si>
    <t>- use an updated FLAME (Milovanoff et al. 2019) to the UK, US and China (referred to as FLAME-US, FLAME-UK and FLAME-CN) 
- a description of how the EoL is modelled is missing in the paper
- despite the update to FLAME in Tarabay et al. 2023, the more specific coverage of battery technologie seems to be only partially included here ("Our study models a present-day battery technologies mix reflecting realistic market shares of LFP, LMO, NCM/NMC, and other battery chemistries (detailed in the SI).")
- how much of the original FLAME model was taken over remains somewhat unclear to us, e.g. if the same vehicle components are used or if the micro-level characterisation results for aluminium were derived in the same way; only information provided is: "Several changes to the original FLAME-US model were made in this study: 1. Historical data were updated to 2022, e.g., 2022 grid intensity from EPA’s eGrid (EPA, 2023a). 2. The grid mix projections is updated with EIA’s latest reference case in the Annual Energy Outlook 2023 (U.S. Energy Information Administration, 2023), which is a more ambitious grid decarbonization projection than in prior model. 3. Fuel consumption assumes 1% annual improvement for ICEVs and 1.5% annual improvement for BEVs following FLAME-CN, which is within the plausible ranges for US scenarios (Alzaghrini et al., 2024). 4. BEV batteries are assumed to be manufactured in China which is closer to current reality than assuming domestic production (Tarabay et al., 2023)."
- the model on Zenodo (https://doi.org/10.5281/zenodo.2548011) / Github (https://github.com/amilovanoff/est_milovanoff_et_al_2019/tree/v1.0.0) was not updated, it remains in version 1 from the 2019 first FLAME publication; peculiarly the authors seem to be less willing to provide data and method openly (full disclosure with first FLAME publication in 2019, but here data only available on request and the model code not available)</t>
  </si>
  <si>
    <t>- update FLAME (Milovanoff et al. 2019), refer to the new version as FLAME2a, mainly improving the battery coverage
- only include the emissions from primary and secondary material production, the energy use of the battery manufacturing and changing weight during the use phase, not the car itself, and only the new EV vehicles
- the model on Zenodo (https://doi.org/10.5281/zenodo.2548011) / Github (https://github.com/amilovanoff/est_milovanoff_et_al_2019/tree/v1.0.0) was not updated, it remains in version 1 from the 2019 first FLAME publication; peculiarly the authors seem to be less willing to provide data and method openly (full disclosure with first FLAME publication in 2019, but here data only available on request and the model code not available)</t>
  </si>
  <si>
    <t>- market composition (pyro- and hydrometallurgical shares): regression analysis of historic rates (from the International Copper Study Group) from 2000 to 2014 
- ore grades: power regression of past ore grades based on historical data from Mudd et al. (2017)
- energy efficiency of production: U.S. DOE mining industry energy bandwidth method based on theoretical minimum and current global averages
- electricity supply mix based on IEA scenarios, extrapolated to 2050 using linear regression</t>
  </si>
  <si>
    <t>- ore grades: power regression of past ore grades based on historical data from Mudd et al. (2017)
- energy efficiency FG: extrapolation of historical trend data &amp; own assumptions
- primary production routes: for copper and nickel 2 each considered based on historical data from Mudd et al. (2017) and own assumptions for future development
- electricity supply mix based on IEA scenarios, extrapolated to 2050 using linear regression</t>
  </si>
  <si>
    <t>- expanded RECC in coverage to newest version RECC v2.5 (authors refer to model documentation for more details (https://doi.org/10.6094/UNIFR/242061, last accessed by us 10/08/25)
- SSP2 FullCE Wood is shown as sensitivity scenario in the SI, but main scenario in the main text, which is where we classified it here
- authors mention to have used ecoinvent v3.8, but many Zenodo input files still show ecoinvent v3.4 as source</t>
  </si>
  <si>
    <t>- energy efficiency improvements are age cohort-specific
- The study is very unclear with respect to which variables are have scenario-specific changes and which are changing in the default. The increase of secondary materials, for example, is described as a scenario assumption but also shown as general assumption across all scenario in the SI.
- "Third, the scope of this study is limited to technology-oriented policies."</t>
  </si>
  <si>
    <t>- diffusion: based on coupled ESM
- investment cost of hydrogen production technologies: specific values for 2016, 2030 and 2050 assumed based on literature (see table 4), how years in between are covered is not disclosed
- energy efficiency of hydrogen production technologies: specific values assumed for now (year not disclosed) and 2030 (see table 5), how years in between and after 2030 are covered is not disclosed 
- changing electricity mix based on ESM from literature, only affecting the electrolysis</t>
  </si>
  <si>
    <t>- diffusion: based on coupled ESM
- Technological development: not defined, but presumably the same as in Navas-Anguita et al. 2020: 
-- investment cost of hydrogen production technologies: specific values for 2016, 2030 and 2050 assumed based on literature (see table 4), how years in between are covered is not disclosed
-- energy efficiency of hydrogen production technologies: specific values assumed for now (year not disclosed) and 2030 (see table 5), how years in between and after 2030 are covered is not disclosed 
- not defined, but presumably the same as in Navas-Anguita et al. 2020: changing electricity mix based on ESM from literature, only affecting the electrolysis</t>
  </si>
  <si>
    <t xml:space="preserve">- "A full description of the approach used to derive the LCA coefficients is available in ref. 19" - Arvesen et al. 2018 
- indirect emissions from the life cycle included through multiplying EEU coefficients for each technology and differentiated by secondary energy carrier (solids, liquids, gases and electricity) with REMIND endogenous emission factors ("To derive indirect specific CO2 emissions from EEU, EEU derived from the LCA methodology was combined with the CO2 intensities of secondary energy carriers endogenous to REMIND, summed over the technologies’ lifetimes and divided by the total electricity produced over the lifetimes.") and additionally through multiplying these emissions with the carbon price of the respective scenario, which is then used to adjust investment and O&amp;M costs of the respective technology ("Indirect emissions from EEU were implemented in REMIND using markups on the investment and operation and maintenance (O&amp;M) costs that determine technology use in the model18. The price mark-ups were derived by multiplying EEU for construction and operation (either per capacity or per electricity produced) with the CO2 intensities of energy carriers and the CO2 price (both model endogenous). (...) Note that this accounting is only financial (averting double-counting of emissions), since the physical emissions of the steel, cement, other industry and transport sectors are already implicitly accounted for in the general equilibrium formulation of the REMIND model.")
- the coefficients are differentiated by construction (including EoL, multiplied with installed capacity, relevant for the investment costs) and operation (multiplied with electricity generation, relevant for the O&amp;M costs)
- potential inconsistency: IAM scenarios for the electricity system but THEMIS scenarios, which are based on IEA modelling, for the coefficients (Arvesen et al. 2018: "A possible future improvement when THEMIS is used in conjunction with an IAM, however, would be to obtain scenario data inputs to THEMIS specifically from the IAM in question, thus enhancing harmonization of scenario data across the LCA and IAM modelling.")
-- this is only partially relevant because the emission factors in REMIND are considered for the energy use (including the carbon intensity of the grid mix)
- the authors assess 9 different scenarios in MagPIE, but because only one is used for the main paper results ("The modelling results (weighted means) are based on a scenario of traditional and purpose-grown rain-fed biomass production with a 2005 US$30 per tCO2 tax in the agricultural sector in 2020, which is consistent with REMIND scenario assumptions."), only this one is considered here
</t>
  </si>
  <si>
    <t>- same as Alaux et al. 2024 (also reviewed here), main difference is the way in which the scenarios were set up (SIMPL methodology of Langkau et al. 2023)
- dynamic LCI: "These emissions are fully accounted for in the year in which the activity in the building stock takes place (e.g., if a building is renovated in 2040, it is assumed that all embodied emissions associated with the renovation are emitted in 2040)."</t>
  </si>
  <si>
    <t>- assume Best Available Technology today as the average in 2030 ("The ambition has been to collect process data corresponding to Best Available Technology (BAT) with the rationale that current BAT can be a reasonable assumption for average data in 2030.")
- market shares of waste treatment technologies: based on costs, determined through coupled model
- changing energy mix (electricity, heat, fuel) based on government scenarios and literature</t>
  </si>
  <si>
    <t>- change to inert anodes in the smelting process: modelling market share using logistic curve and scenario-specific goal in target year and speed of adoption
- aluminium production market shares of regions: constant shares from 2020 assumed (based on the 2019 market share from IAI statistics, which was used as proxy for 2020). Whether these shares are also used to calculate the impact intensities, i.e. if the impact intensities are different for the regions, is unclear. The authors say that the "cradle-to-gate or gate-to-gate impact profile of each process used by PRISMAL is pre-calculated with the Simapro life cycle assessment software. In order to get a single value impact, despite country-level specificity from ecoinvent, we take a weighted average of the member countries using the regional production volumes provided in ecoinvent", which indicates that see impact intensities do not differ by region (see also SI-7). However, this seems contradictory to claiming that "PRISMAL distinguishes between five different regions", as the difference of the regiong would only be amount of production, meaning that it does in fact not matter where the aluminium is produced for the global results. 
- electricity mix for smelting and casting: trends based on SSP marker scenarios (scenario-dependent choice) &amp; reduction factor on electricity generation technologies emissions to represent CCS
- energy intensity of smelting: assumption-based scenarios matched to the SSPs, linear interpolation to different target values or extrapolation of historical trends based on IAI data
- apply a reduction factor for the global warming characterisation results of the electricity generation technologies to represent CCS ("These factors were calculated as the ratio of median value for the life cycle carbon intensity of different electricity generation technologies with and without CCS as published in the IPCC Fifth Assessment Report on mitigation of climate change (Edenhofer et al., 2014).")</t>
  </si>
  <si>
    <t>- "Conducting an ex-post assessment, we determine systemic repercussions using a cost-optimized ESM (Section 3.1.1). "
- The authors conduct 2 different assessments, one determining change to the average emission factors of power generation in Germany, which they refer to as "system level" and one to "determine the marginal changes, i.e., the operational emissions per charging strategy for an additional BEV not yet endogenously considered in the scenario results", which they refer to as "technology level" and use the emission factors determined in the first assessment ("For the operation phase of BEVs, we use the ‘V2G’ scenario as the underlying scenario and thus apply the previously determined hourly emission factors of electricity generation."). Following our research objective, we focus here on what the authors refer to as "system level" analysis and fill the fields to the right accordingly. We show, for example, only the functional unti for the "system level" analysis, despite the authors having specified both. 
- double-counting (see Volkart et al. 2017 and Blanco et al. 2020) not addressed</t>
  </si>
  <si>
    <t>- harmonise "energy conversion efficiencies, lifetime of energy technologies, operating time"  from ESM with the inventories (only for electricity generation technologies)
- use learning curves, but do not specify with which underlying assumptions and for what processes, the main information given is "Technological progress is implemented by varying resource inputs and key performance indicators (e.g., efficiency and lifetime)" and 
"Technical progress, which can lead to a complete replacement of the currently dominant technologies, can happen in both foreground and background processes. To capture possible technical progress in this study, the relevant parameters of the processes under investigation are adjusted using the learning curve approach or data from the literature (Junginger et al., 2010; Louwen et al., 2018a, 2018b; Treyer and Bauer, 2016)."
- diffusion: scenario dependent assumptions ("Due to a lack of data and knowledge of how future markets will react to new technologies, the future shares of technologies are built on projections by experts, considering learning curves for market-proven technologies and expectations regarding the techno-economic setting of innovative, but not market-ready technologies")
- "Energy mix" in the inventories changes according to the ESM scenarios; how this is done exactly and which processes are affected (e.g. if this only happens for Europe, which is the geographical scope of the ESM, or also for processes with global reference which are assumed for "for the upstream non-electricity sectors") is not further defined</t>
  </si>
  <si>
    <t>- fuel efficiency changing according to regulatory standards assumed in the scenarios
- improving energy efficiency for BEVs and PHEVs, linear projections based on industry roadmaps and policy plans, age cohort-specific
- electricity supply mix based on IEA scenarios
- characterisation results of vehicle production: increasing recycling share (industry roadmap), improved battery manufacturing (assumption) and changing electricity grid mix (see above)
- characterisation results of fuels: based on assumed standards applied through policy
- market shares of vehicle technologies: based on industry roadmaps and linear interpolation</t>
  </si>
  <si>
    <t>This sheet provides brief descriptions of all review variables.</t>
  </si>
  <si>
    <t>This sheet contains a list of all retrieved articles, including bibliographic information, source of retrieval, and reason for exclusion (if applicable). If a study failed to meet multiple inclusion criteria, only one criterion is recorded per entry. Duplicate records and non–peer-reviewed publications were manually removed and are not included in this table. All remarks (e.g., ‘see Table 2’) refer to the reviewed studies, not our manuscript.</t>
  </si>
  <si>
    <t>Review matrix</t>
  </si>
  <si>
    <t>Article Information</t>
  </si>
  <si>
    <t>Other than global warming?</t>
  </si>
  <si>
    <t>Main Review Criteria</t>
  </si>
  <si>
    <t>IAM (IMAGE)</t>
  </si>
  <si>
    <t>DSM (PULSE-AT); IAM (REMIND)</t>
  </si>
  <si>
    <t>CGE (Environmental Medium Term Economic Model (EMEC)); "systems engineering model" (National Waste Management model (NatWaste))</t>
  </si>
  <si>
    <t>MRIO (Exiobase)</t>
  </si>
  <si>
    <t>MRIO (Exiobase); ESM (REMix)</t>
  </si>
  <si>
    <t>ESM (JRC-EU-TIMES)</t>
  </si>
  <si>
    <t>IAM (REMIND)</t>
  </si>
  <si>
    <t>ESM (Swiss TIMES energy model (STEM)); IAM (REMIND)</t>
  </si>
  <si>
    <t>DSM (FleetModel); IAM (Messageix)</t>
  </si>
  <si>
    <t>DSM (FLAME)</t>
  </si>
  <si>
    <t>ESM (MESAP/PlaNet)</t>
  </si>
  <si>
    <t>IAM (E3ME-FTT-GENIE); IAM (IMAGE-REMG)</t>
  </si>
  <si>
    <t>ESM (Prospective Outlook for Long-term Energy Systems (POLES), 6th version); ESM (European Transmission Grid Investment and Dispatch (EUTGRID))</t>
  </si>
  <si>
    <t>MRIO (Exiobase); land use model (MagPIE); IAM (GCAM, IMAGE, MESSAGE-GLOBIOM, POLES and REMIND)</t>
  </si>
  <si>
    <t>dMFA (STURM); IAM (MESSAGEix-GLOBIOM); ESM (CHILLED)</t>
  </si>
  <si>
    <t>IAM (IMAGE v3.3)</t>
  </si>
  <si>
    <t>ESM (MESAP/PlaNet); ABM (flexABLE)</t>
  </si>
  <si>
    <t>ESM (LEAP-OSeMOSYS)</t>
  </si>
  <si>
    <t>dMFA (RECC); IAM (IMAGE)</t>
  </si>
  <si>
    <t>MRIO (Exiobase); land use model (MagPIE); IAM (REMIND)</t>
  </si>
  <si>
    <t>ESM (Balmorel)</t>
  </si>
  <si>
    <t>ESM (SecMOD)</t>
  </si>
  <si>
    <t>IAM (REMIND v2.1)</t>
  </si>
  <si>
    <t>IAM (IMAGE 3.0)</t>
  </si>
  <si>
    <t>ESM (Swiss TIMES energy model (STEM)); ESM (Global Multiregional MARKAL Model (GMM))</t>
  </si>
  <si>
    <t>ESM (Swiss MARKAL Model (SMM))</t>
  </si>
  <si>
    <t>ESM (ISAaR); IAM (REMIND)</t>
  </si>
  <si>
    <t>ESM (ELTRAMOD)</t>
  </si>
  <si>
    <t>IAM (IMAGE 3.2)</t>
  </si>
  <si>
    <t>DSM (BUMA); IAM (IMAGE)</t>
  </si>
  <si>
    <t>Modelling tool(s)</t>
  </si>
  <si>
    <t>IAM (AIM/CGE 2.0; REMIND-MAgPIE 1.5)</t>
  </si>
  <si>
    <t>ESM (TIMES-Spain)</t>
  </si>
  <si>
    <t>MFA (IAI global alucycle); IAM (IMAGE; MESSAGE-GLOBIOM; AIM/CGE; GCAM4; REMIND-MAGPIE)</t>
  </si>
  <si>
    <t>DSM (PRASTOF); optimisation model (ONBAR)</t>
  </si>
  <si>
    <t>IAM (REMIND); IAM (IMAGE)</t>
  </si>
  <si>
    <t>Named modelling tool(s) used</t>
  </si>
  <si>
    <t>ESM (European Swiss TIMES electricity model (EUSTEM)); mixed-integer-linear-programming (MILP) tool (Open Energy Modeling Framework (oemof))</t>
  </si>
  <si>
    <t>ESM (Global Multi-regional MARKAL (GMM))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</si>
</sst>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8" tint="-0.499984740745262"/>
      <name val="Calibri"/>
      <family val="2"/>
      <scheme val="minor"/>
    </font>
    <font>
      <u/>
      <sz val="11"/>
      <name val="Calibri"/>
      <family val="2"/>
      <scheme val="minor"/>
    </font>
    <font>
      <sz val="11"/>
      <color theme="1"/>
      <name val="Calibri"/>
      <family val="2"/>
      <scheme val="minor"/>
    </font>
    <font>
      <sz val="10"/>
      <name val="Arial"/>
      <family val="2"/>
    </font>
    <font>
      <sz val="10"/>
      <name val="Arial"/>
      <family val="2"/>
    </font>
    <font>
      <sz val="10"/>
      <name val="Arial"/>
      <family val="2"/>
    </font>
    <font>
      <sz val="10"/>
      <name val="Arial"/>
      <family val="2"/>
    </font>
    <font>
      <sz val="12"/>
      <color theme="1"/>
      <name val="Georgia"/>
      <family val="1"/>
    </font>
    <font>
      <b/>
      <sz val="16"/>
      <color theme="1"/>
      <name val="Georgia"/>
      <family val="1"/>
    </font>
    <font>
      <sz val="11"/>
      <color theme="1"/>
      <name val="Georgia"/>
      <family val="1"/>
    </font>
    <font>
      <vertAlign val="superscript"/>
      <sz val="11"/>
      <color theme="1"/>
      <name val="Georgia"/>
      <family val="1"/>
    </font>
    <font>
      <i/>
      <sz val="10"/>
      <color theme="1"/>
      <name val="Georgia"/>
      <family val="1"/>
    </font>
    <font>
      <i/>
      <vertAlign val="superscript"/>
      <sz val="10"/>
      <color theme="1"/>
      <name val="Georgia"/>
      <family val="1"/>
    </font>
    <font>
      <sz val="10"/>
      <color theme="1"/>
      <name val="Georgia"/>
      <family val="1"/>
    </font>
    <font>
      <b/>
      <sz val="10"/>
      <color theme="0"/>
      <name val="Georgia"/>
      <family val="1"/>
    </font>
    <font>
      <sz val="10"/>
      <color theme="0"/>
      <name val="Georgia"/>
      <family val="1"/>
    </font>
    <font>
      <sz val="10"/>
      <name val="Georgia"/>
      <family val="1"/>
    </font>
    <font>
      <b/>
      <sz val="10"/>
      <color theme="1"/>
      <name val="Georgia"/>
      <family val="1"/>
    </font>
    <font>
      <b/>
      <sz val="10"/>
      <name val="Georgia"/>
      <family val="1"/>
    </font>
  </fonts>
  <fills count="21">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theme="5"/>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2" tint="-0.749992370372631"/>
        <bgColor indexed="64"/>
      </patternFill>
    </fill>
    <fill>
      <patternFill patternType="solid">
        <fgColor theme="7" tint="-0.249977111117893"/>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2" tint="-0.499984740745262"/>
        <bgColor indexed="64"/>
      </patternFill>
    </fill>
    <fill>
      <patternFill patternType="solid">
        <fgColor theme="7"/>
        <bgColor indexed="64"/>
      </patternFill>
    </fill>
    <fill>
      <patternFill patternType="solid">
        <fgColor theme="6"/>
        <bgColor indexed="64"/>
      </patternFill>
    </fill>
    <fill>
      <patternFill patternType="solid">
        <fgColor theme="6" tint="-0.499984740745262"/>
        <bgColor indexed="64"/>
      </patternFill>
    </fill>
    <fill>
      <patternFill patternType="solid">
        <fgColor theme="1"/>
        <bgColor indexed="64"/>
      </patternFill>
    </fill>
    <fill>
      <patternFill patternType="solid">
        <fgColor theme="1" tint="0.249977111117893"/>
        <bgColor indexed="64"/>
      </patternFill>
    </fill>
  </fills>
  <borders count="13">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1" fillId="0" borderId="0"/>
    <xf numFmtId="14" fontId="1" fillId="0" borderId="0" applyFill="0" applyBorder="0">
      <alignment horizontal="center" vertical="center"/>
    </xf>
    <xf numFmtId="0" fontId="2" fillId="0" borderId="0" applyNumberFormat="0" applyFill="0" applyBorder="0" applyAlignment="0" applyProtection="0"/>
    <xf numFmtId="0" fontId="4" fillId="0" borderId="0"/>
    <xf numFmtId="0" fontId="5" fillId="0" borderId="0"/>
    <xf numFmtId="0" fontId="3" fillId="0" borderId="0"/>
    <xf numFmtId="0" fontId="6" fillId="0" borderId="0" applyNumberFormat="0" applyFill="0" applyBorder="0" applyAlignment="0" applyProtection="0"/>
    <xf numFmtId="0" fontId="7" fillId="0" borderId="0"/>
    <xf numFmtId="0" fontId="4" fillId="0" borderId="0"/>
  </cellStyleXfs>
  <cellXfs count="92">
    <xf numFmtId="0" fontId="0" fillId="0" borderId="0" xfId="0"/>
    <xf numFmtId="0" fontId="8" fillId="3" borderId="0" xfId="0" applyFont="1" applyFill="1" applyAlignment="1">
      <alignment horizontal="left" vertical="center" indent="1"/>
    </xf>
    <xf numFmtId="0" fontId="9" fillId="3" borderId="0" xfId="0" applyFont="1" applyFill="1" applyAlignment="1">
      <alignment horizontal="left" vertical="center" indent="1"/>
    </xf>
    <xf numFmtId="0" fontId="10" fillId="0" borderId="0" xfId="0" applyFont="1"/>
    <xf numFmtId="0" fontId="10" fillId="3" borderId="0" xfId="0" applyFont="1" applyFill="1" applyAlignment="1">
      <alignment horizontal="left" vertical="center"/>
    </xf>
    <xf numFmtId="0" fontId="10" fillId="0" borderId="0" xfId="0" applyFont="1" applyAlignment="1">
      <alignment vertical="top" wrapText="1"/>
    </xf>
    <xf numFmtId="0" fontId="10" fillId="0" borderId="0" xfId="0" applyFont="1" applyAlignment="1">
      <alignment horizontal="left" vertical="center" indent="1"/>
    </xf>
    <xf numFmtId="0" fontId="14" fillId="6" borderId="0" xfId="0" applyFont="1" applyFill="1"/>
    <xf numFmtId="0" fontId="16" fillId="9" borderId="2" xfId="0" applyFont="1" applyFill="1" applyBorder="1" applyAlignment="1">
      <alignment horizontal="left" textRotation="90" wrapText="1"/>
    </xf>
    <xf numFmtId="0" fontId="16" fillId="8" borderId="2" xfId="0" applyFont="1" applyFill="1" applyBorder="1" applyAlignment="1">
      <alignment horizontal="center" textRotation="90" wrapText="1"/>
    </xf>
    <xf numFmtId="0" fontId="16" fillId="7" borderId="5" xfId="0" applyFont="1" applyFill="1" applyBorder="1" applyAlignment="1">
      <alignment horizontal="center" textRotation="90" wrapText="1"/>
    </xf>
    <xf numFmtId="0" fontId="16" fillId="7" borderId="2" xfId="0" applyFont="1" applyFill="1" applyBorder="1" applyAlignment="1">
      <alignment horizontal="center" textRotation="90" wrapText="1"/>
    </xf>
    <xf numFmtId="0" fontId="16" fillId="7" borderId="10" xfId="0" applyFont="1" applyFill="1" applyBorder="1" applyAlignment="1">
      <alignment horizontal="center" textRotation="90" wrapText="1"/>
    </xf>
    <xf numFmtId="0" fontId="16" fillId="7" borderId="3" xfId="0" applyFont="1" applyFill="1" applyBorder="1" applyAlignment="1">
      <alignment horizontal="center" textRotation="90" wrapText="1"/>
    </xf>
    <xf numFmtId="0" fontId="16" fillId="5" borderId="2" xfId="0" applyFont="1" applyFill="1" applyBorder="1" applyAlignment="1">
      <alignment horizontal="center" textRotation="90" wrapText="1"/>
    </xf>
    <xf numFmtId="0" fontId="16" fillId="5" borderId="2" xfId="0" applyFont="1" applyFill="1" applyBorder="1" applyAlignment="1">
      <alignment horizontal="left" textRotation="90" wrapText="1"/>
    </xf>
    <xf numFmtId="0" fontId="16" fillId="16" borderId="5" xfId="0" applyFont="1" applyFill="1" applyBorder="1" applyAlignment="1">
      <alignment horizontal="left" textRotation="90" wrapText="1"/>
    </xf>
    <xf numFmtId="0" fontId="16" fillId="16" borderId="3" xfId="0" applyFont="1" applyFill="1" applyBorder="1" applyAlignment="1">
      <alignment horizontal="left" textRotation="90" wrapText="1"/>
    </xf>
    <xf numFmtId="0" fontId="16" fillId="15" borderId="2" xfId="0" applyFont="1" applyFill="1" applyBorder="1" applyAlignment="1">
      <alignment horizontal="left" textRotation="90" wrapText="1"/>
    </xf>
    <xf numFmtId="0" fontId="16" fillId="15" borderId="3" xfId="0" applyFont="1" applyFill="1" applyBorder="1" applyAlignment="1">
      <alignment horizontal="left" textRotation="90" wrapText="1"/>
    </xf>
    <xf numFmtId="0" fontId="14" fillId="2" borderId="0" xfId="0" applyFont="1" applyFill="1"/>
    <xf numFmtId="0" fontId="14" fillId="0" borderId="0" xfId="0" applyFont="1"/>
    <xf numFmtId="0" fontId="14" fillId="2" borderId="0" xfId="0" applyFont="1" applyFill="1" applyAlignment="1">
      <alignment horizontal="center"/>
    </xf>
    <xf numFmtId="0" fontId="18" fillId="0" borderId="3" xfId="0" applyFont="1" applyBorder="1"/>
    <xf numFmtId="0" fontId="18" fillId="0" borderId="2" xfId="0" applyFont="1" applyBorder="1"/>
    <xf numFmtId="0" fontId="14" fillId="0" borderId="1" xfId="0" applyFont="1" applyBorder="1" applyAlignment="1">
      <alignment vertical="top"/>
    </xf>
    <xf numFmtId="0" fontId="14" fillId="0" borderId="4" xfId="0" applyFont="1" applyBorder="1" applyAlignment="1">
      <alignment vertical="top" wrapText="1"/>
    </xf>
    <xf numFmtId="0" fontId="19" fillId="4" borderId="2" xfId="9" applyFont="1" applyFill="1" applyBorder="1" applyAlignment="1">
      <alignment horizontal="center"/>
    </xf>
    <xf numFmtId="0" fontId="19" fillId="4" borderId="2" xfId="5" applyFont="1" applyFill="1" applyBorder="1"/>
    <xf numFmtId="0" fontId="18" fillId="4" borderId="0" xfId="0" applyFont="1" applyFill="1"/>
    <xf numFmtId="0" fontId="14" fillId="0" borderId="0" xfId="0" applyFont="1" applyAlignment="1">
      <alignment horizontal="center"/>
    </xf>
    <xf numFmtId="0" fontId="17" fillId="0" borderId="0" xfId="4" applyFont="1"/>
    <xf numFmtId="0" fontId="17" fillId="0" borderId="0" xfId="0" applyFont="1" applyAlignment="1">
      <alignment horizontal="left" vertical="center"/>
    </xf>
    <xf numFmtId="0" fontId="17" fillId="0" borderId="2" xfId="0" applyFont="1" applyBorder="1" applyAlignment="1">
      <alignment horizontal="left" vertical="center"/>
    </xf>
    <xf numFmtId="0" fontId="17" fillId="0" borderId="7" xfId="0" applyFont="1" applyBorder="1" applyAlignment="1">
      <alignment horizontal="left" vertical="center"/>
    </xf>
    <xf numFmtId="0" fontId="16" fillId="9" borderId="3" xfId="0" applyFont="1" applyFill="1" applyBorder="1" applyAlignment="1">
      <alignment horizontal="left" textRotation="90" wrapText="1"/>
    </xf>
    <xf numFmtId="0" fontId="16" fillId="8" borderId="9" xfId="0" applyFont="1" applyFill="1" applyBorder="1" applyAlignment="1">
      <alignment horizontal="center" textRotation="90" wrapText="1"/>
    </xf>
    <xf numFmtId="0" fontId="16" fillId="8" borderId="10" xfId="0" applyFont="1" applyFill="1" applyBorder="1" applyAlignment="1">
      <alignment horizontal="center" textRotation="90" wrapText="1"/>
    </xf>
    <xf numFmtId="0" fontId="16" fillId="15" borderId="11" xfId="0" applyFont="1" applyFill="1" applyBorder="1" applyAlignment="1">
      <alignment horizontal="left" textRotation="90" wrapText="1"/>
    </xf>
    <xf numFmtId="0" fontId="18" fillId="17" borderId="2" xfId="0" applyFont="1" applyFill="1" applyBorder="1" applyAlignment="1">
      <alignment horizontal="left" vertical="center"/>
    </xf>
    <xf numFmtId="0" fontId="17" fillId="0" borderId="6" xfId="0" applyFont="1" applyBorder="1" applyAlignment="1">
      <alignment horizontal="left" vertical="center"/>
    </xf>
    <xf numFmtId="0" fontId="17" fillId="0" borderId="5" xfId="0" applyFont="1" applyBorder="1" applyAlignment="1">
      <alignment horizontal="left" vertical="center"/>
    </xf>
    <xf numFmtId="0" fontId="17" fillId="0" borderId="4" xfId="0" applyFont="1" applyBorder="1" applyAlignment="1">
      <alignment horizontal="left" vertical="center"/>
    </xf>
    <xf numFmtId="0" fontId="14" fillId="0" borderId="0" xfId="0" applyFont="1" applyAlignment="1">
      <alignment wrapText="1"/>
    </xf>
    <xf numFmtId="0" fontId="14" fillId="0" borderId="0" xfId="0" quotePrefix="1" applyFont="1" applyAlignment="1">
      <alignment wrapText="1"/>
    </xf>
    <xf numFmtId="0" fontId="14" fillId="0" borderId="1" xfId="0" applyFont="1" applyBorder="1"/>
    <xf numFmtId="0" fontId="14" fillId="0" borderId="4" xfId="0" applyFont="1" applyBorder="1"/>
    <xf numFmtId="0" fontId="14" fillId="0" borderId="1" xfId="0" quotePrefix="1" applyFont="1" applyBorder="1" applyAlignment="1">
      <alignment horizontal="left" wrapText="1"/>
    </xf>
    <xf numFmtId="0" fontId="14" fillId="0" borderId="1" xfId="0" applyFont="1" applyBorder="1" applyAlignment="1">
      <alignment horizontal="center"/>
    </xf>
    <xf numFmtId="0" fontId="14" fillId="0" borderId="7" xfId="0" applyFont="1" applyBorder="1" applyAlignment="1">
      <alignment horizontal="left"/>
    </xf>
    <xf numFmtId="0" fontId="14" fillId="0" borderId="0" xfId="0" applyFont="1" applyAlignment="1">
      <alignment horizontal="left"/>
    </xf>
    <xf numFmtId="0" fontId="14" fillId="0" borderId="4" xfId="0" applyFont="1" applyBorder="1" applyAlignment="1">
      <alignment horizontal="left"/>
    </xf>
    <xf numFmtId="0" fontId="14" fillId="0" borderId="1" xfId="0" applyFont="1" applyBorder="1" applyAlignment="1">
      <alignment horizontal="left"/>
    </xf>
    <xf numFmtId="0" fontId="14" fillId="0" borderId="1" xfId="0" applyFont="1" applyBorder="1" applyAlignment="1">
      <alignment horizontal="left" wrapText="1"/>
    </xf>
    <xf numFmtId="0" fontId="14" fillId="0" borderId="0" xfId="0" applyFont="1" applyAlignment="1">
      <alignment horizontal="left" wrapText="1"/>
    </xf>
    <xf numFmtId="0" fontId="14" fillId="0" borderId="8" xfId="0" applyFont="1" applyBorder="1" applyAlignment="1">
      <alignment horizontal="left"/>
    </xf>
    <xf numFmtId="0" fontId="14" fillId="0" borderId="4" xfId="0" applyFont="1" applyBorder="1" applyAlignment="1">
      <alignment horizontal="left" wrapText="1"/>
    </xf>
    <xf numFmtId="0" fontId="14" fillId="0" borderId="0" xfId="0" quotePrefix="1" applyFont="1" applyAlignment="1">
      <alignment horizontal="left"/>
    </xf>
    <xf numFmtId="0" fontId="17" fillId="0" borderId="1" xfId="0" applyFont="1" applyBorder="1" applyAlignment="1">
      <alignment horizontal="left" wrapText="1"/>
    </xf>
    <xf numFmtId="0" fontId="14" fillId="0" borderId="4" xfId="0" quotePrefix="1" applyFont="1" applyBorder="1" applyAlignment="1">
      <alignment horizontal="left" wrapText="1"/>
    </xf>
    <xf numFmtId="0" fontId="14" fillId="0" borderId="1" xfId="0" quotePrefix="1" applyFont="1" applyBorder="1" applyAlignment="1">
      <alignment horizontal="left"/>
    </xf>
    <xf numFmtId="0" fontId="14" fillId="0" borderId="0" xfId="0" quotePrefix="1" applyFont="1" applyAlignment="1">
      <alignment horizontal="left" wrapText="1"/>
    </xf>
    <xf numFmtId="0" fontId="14" fillId="0" borderId="4" xfId="0" quotePrefix="1" applyFont="1" applyBorder="1" applyAlignment="1">
      <alignment horizontal="left"/>
    </xf>
    <xf numFmtId="0" fontId="17" fillId="0" borderId="1" xfId="0" applyFont="1" applyBorder="1" applyAlignment="1">
      <alignment horizontal="left"/>
    </xf>
    <xf numFmtId="0" fontId="14" fillId="0" borderId="1" xfId="0" applyFont="1" applyBorder="1" applyAlignment="1">
      <alignment horizontal="center" wrapText="1"/>
    </xf>
    <xf numFmtId="0" fontId="16" fillId="20" borderId="5" xfId="0" applyFont="1" applyFill="1" applyBorder="1" applyAlignment="1">
      <alignment horizontal="center" textRotation="90" wrapText="1"/>
    </xf>
    <xf numFmtId="0" fontId="16" fillId="20" borderId="2" xfId="0" applyFont="1" applyFill="1" applyBorder="1" applyAlignment="1">
      <alignment horizontal="center" textRotation="90" wrapText="1"/>
    </xf>
    <xf numFmtId="0" fontId="16" fillId="20" borderId="3" xfId="0" applyFont="1" applyFill="1" applyBorder="1" applyAlignment="1">
      <alignment horizontal="center" textRotation="90" wrapText="1"/>
    </xf>
    <xf numFmtId="0" fontId="14" fillId="6" borderId="0" xfId="0" applyFont="1" applyFill="1" applyAlignment="1">
      <alignment wrapText="1"/>
    </xf>
    <xf numFmtId="0" fontId="10" fillId="3" borderId="0" xfId="0" applyFont="1" applyFill="1" applyAlignment="1">
      <alignment horizontal="left" vertical="center" indent="1"/>
    </xf>
    <xf numFmtId="0" fontId="12" fillId="3" borderId="0" xfId="0" applyFont="1" applyFill="1" applyAlignment="1">
      <alignment horizontal="left" vertical="center" wrapText="1" indent="1"/>
    </xf>
    <xf numFmtId="0" fontId="12" fillId="3" borderId="0" xfId="0" applyFont="1" applyFill="1" applyAlignment="1">
      <alignment horizontal="left" vertical="center" indent="1"/>
    </xf>
    <xf numFmtId="0" fontId="16" fillId="18" borderId="12" xfId="0" quotePrefix="1" applyFont="1" applyFill="1" applyBorder="1" applyAlignment="1">
      <alignment horizontal="center" wrapText="1"/>
    </xf>
    <xf numFmtId="0" fontId="16" fillId="18" borderId="9" xfId="0" quotePrefix="1" applyFont="1" applyFill="1" applyBorder="1" applyAlignment="1">
      <alignment horizontal="center" wrapText="1"/>
    </xf>
    <xf numFmtId="0" fontId="16" fillId="18" borderId="10" xfId="0" quotePrefix="1" applyFont="1" applyFill="1" applyBorder="1" applyAlignment="1">
      <alignment horizontal="center" wrapText="1"/>
    </xf>
    <xf numFmtId="0" fontId="16" fillId="19" borderId="12" xfId="0" applyFont="1" applyFill="1" applyBorder="1" applyAlignment="1">
      <alignment horizontal="center" wrapText="1"/>
    </xf>
    <xf numFmtId="0" fontId="16" fillId="19" borderId="9" xfId="0" applyFont="1" applyFill="1" applyBorder="1" applyAlignment="1">
      <alignment horizontal="center" wrapText="1"/>
    </xf>
    <xf numFmtId="0" fontId="16" fillId="19" borderId="10" xfId="0" applyFont="1" applyFill="1" applyBorder="1" applyAlignment="1">
      <alignment horizontal="center" wrapText="1"/>
    </xf>
    <xf numFmtId="0" fontId="15" fillId="10" borderId="5" xfId="0" applyFont="1" applyFill="1" applyBorder="1" applyAlignment="1">
      <alignment horizontal="center" wrapText="1"/>
    </xf>
    <xf numFmtId="0" fontId="15" fillId="10" borderId="2" xfId="0" applyFont="1" applyFill="1" applyBorder="1" applyAlignment="1">
      <alignment horizontal="center" wrapText="1"/>
    </xf>
    <xf numFmtId="0" fontId="15" fillId="10" borderId="3" xfId="0" applyFont="1" applyFill="1" applyBorder="1" applyAlignment="1">
      <alignment horizontal="center" wrapText="1"/>
    </xf>
    <xf numFmtId="0" fontId="15" fillId="11" borderId="5" xfId="0" applyFont="1" applyFill="1" applyBorder="1" applyAlignment="1">
      <alignment horizontal="center" wrapText="1"/>
    </xf>
    <xf numFmtId="0" fontId="15" fillId="11" borderId="2" xfId="0" applyFont="1" applyFill="1" applyBorder="1" applyAlignment="1">
      <alignment horizontal="center" wrapText="1"/>
    </xf>
    <xf numFmtId="0" fontId="15" fillId="11" borderId="3" xfId="0" applyFont="1" applyFill="1" applyBorder="1" applyAlignment="1">
      <alignment horizontal="center" wrapText="1"/>
    </xf>
    <xf numFmtId="0" fontId="15" fillId="14" borderId="5" xfId="0" applyFont="1" applyFill="1" applyBorder="1" applyAlignment="1">
      <alignment horizontal="center" wrapText="1"/>
    </xf>
    <xf numFmtId="0" fontId="15" fillId="14" borderId="2" xfId="0" applyFont="1" applyFill="1" applyBorder="1" applyAlignment="1">
      <alignment horizontal="center" wrapText="1"/>
    </xf>
    <xf numFmtId="0" fontId="15" fillId="14" borderId="3" xfId="0" applyFont="1" applyFill="1" applyBorder="1" applyAlignment="1">
      <alignment horizontal="center" wrapText="1"/>
    </xf>
    <xf numFmtId="0" fontId="15" fillId="12" borderId="5" xfId="0" applyFont="1" applyFill="1" applyBorder="1" applyAlignment="1">
      <alignment horizontal="center" wrapText="1"/>
    </xf>
    <xf numFmtId="0" fontId="15" fillId="12" borderId="3" xfId="0" applyFont="1" applyFill="1" applyBorder="1" applyAlignment="1">
      <alignment horizontal="center" wrapText="1"/>
    </xf>
    <xf numFmtId="0" fontId="15" fillId="13" borderId="5" xfId="0" applyFont="1" applyFill="1" applyBorder="1" applyAlignment="1">
      <alignment horizontal="center" wrapText="1"/>
    </xf>
    <xf numFmtId="0" fontId="15" fillId="13" borderId="2" xfId="0" applyFont="1" applyFill="1" applyBorder="1" applyAlignment="1">
      <alignment horizontal="center" wrapText="1"/>
    </xf>
    <xf numFmtId="0" fontId="15" fillId="13" borderId="3" xfId="0" applyFont="1" applyFill="1" applyBorder="1" applyAlignment="1">
      <alignment horizontal="center" wrapText="1"/>
    </xf>
  </cellXfs>
  <cellStyles count="10">
    <cellStyle name="Datum" xfId="2" xr:uid="{6DC77032-64C2-497A-9074-56608F25F40A}"/>
    <cellStyle name="Hyperlink 2" xfId="3" xr:uid="{3B098C3F-28D4-41A6-9B05-95C07BA82B47}"/>
    <cellStyle name="Normal" xfId="0" builtinId="0"/>
    <cellStyle name="Normal 2" xfId="1" xr:uid="{F4364D5A-5F30-46AB-870B-A9FB80CFD8C4}"/>
    <cellStyle name="Normal 2 2" xfId="6" xr:uid="{CA601688-E919-4328-9631-EFC0B14A5920}"/>
    <cellStyle name="Normal 3" xfId="4" xr:uid="{FC46D596-4ABE-41B5-8B67-3935D89DC444}"/>
    <cellStyle name="Normal 4" xfId="5" xr:uid="{88135093-D560-4711-ADE9-0F1BD9854AA6}"/>
    <cellStyle name="Normal 4 2" xfId="9" xr:uid="{9FEB3DFE-6312-434D-9CDB-D65B8A523103}"/>
    <cellStyle name="Normal 5" xfId="7" xr:uid="{486A814C-858F-4E6F-A07F-DBEC06324766}"/>
    <cellStyle name="Normal 6" xfId="8" xr:uid="{9E025EEC-4603-4CF0-8A02-1BEAA88D169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aaron\surfdrive%20-%20Aaron%20Paris@surfdrive.surf.nl\PhD\-%20Article%201%20Literature%20review%20-\Examples%20for%20SIs\Erakca_2024_Systematic%20review%20of%20scale-up%20methods%20for%20prospective%20Life%20Cycle%20Assessments%20of%20emerging%20technologies_SI.xlsx" TargetMode="External"/><Relationship Id="rId2" Type="http://schemas.microsoft.com/office/2019/04/relationships/externalLinkLongPath" Target="/Users/aaron/surfdrive%20-%20Aaron%20Paris@surfdrive.surf.nl/PhD/-%20Article%201%20Literature%20review%20-/Examples%20for%20SIs/Erakca_2024_Systematic%20review%20of%20scale-up%20methods%20for%20prospective%20Life%20Cycle%20Assessments%20of%20emerging%20technologies_SI.xlsx?150F9793" TargetMode="External"/><Relationship Id="rId1" Type="http://schemas.openxmlformats.org/officeDocument/2006/relationships/externalLinkPath" Target="file:///\\150F9793\Erakca_2024_Systematic%20review%20of%20scale-up%20methods%20for%20prospective%20Life%20Cycle%20Assessments%20of%20emerging%20technologies_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
      <sheetName val="1. Search results"/>
      <sheetName val="2. Review"/>
      <sheetName val="3. Methodologies"/>
      <sheetName val="4. Decision tool"/>
      <sheetName val="4.1 Decision tool background"/>
      <sheetName val="4.2 Decision tool background"/>
    </sheetNames>
    <sheetDataSet>
      <sheetData sheetId="0" refreshError="1"/>
      <sheetData sheetId="1" refreshError="1"/>
      <sheetData sheetId="2" refreshError="1"/>
      <sheetData sheetId="3" refreshError="1"/>
      <sheetData sheetId="4" refreshError="1"/>
      <sheetData sheetId="5">
        <row r="6">
          <cell r="D6" t="str">
            <v>Author</v>
          </cell>
          <cell r="E6" t="str">
            <v xml:space="preserve">Year </v>
          </cell>
          <cell r="F6" t="str">
            <v>Underlying scaling method</v>
          </cell>
          <cell r="G6" t="str">
            <v>Limitation total</v>
          </cell>
          <cell r="H6" t="str">
            <v>Complexity</v>
          </cell>
          <cell r="I6" t="str">
            <v>Data intensity</v>
          </cell>
          <cell r="J6" t="str">
            <v>Duration</v>
          </cell>
          <cell r="K6" t="str">
            <v>Uncertainty</v>
          </cell>
          <cell r="L6" t="str">
            <v>Weighted sum</v>
          </cell>
          <cell r="M6" t="str">
            <v>Weighted sum (help)</v>
          </cell>
          <cell r="N6" t="str">
            <v>Rank</v>
          </cell>
          <cell r="O6" t="str">
            <v>Comment</v>
          </cell>
          <cell r="P6" t="str">
            <v>Link</v>
          </cell>
        </row>
        <row r="7">
          <cell r="D7" t="str">
            <v xml:space="preserve">Erakca et al. </v>
          </cell>
          <cell r="E7">
            <v>2023</v>
          </cell>
          <cell r="F7" t="str">
            <v>Simple extrapolation</v>
          </cell>
          <cell r="G7" t="b">
            <v>1</v>
          </cell>
          <cell r="H7">
            <v>0</v>
          </cell>
          <cell r="I7">
            <v>0</v>
          </cell>
          <cell r="J7">
            <v>0</v>
          </cell>
          <cell r="K7">
            <v>0</v>
          </cell>
          <cell r="L7">
            <v>0</v>
          </cell>
          <cell r="M7">
            <v>9.9999999999999995E-7</v>
          </cell>
          <cell r="N7">
            <v>1</v>
          </cell>
          <cell r="O7" t="str">
            <v>Only case study, no methodology</v>
          </cell>
          <cell r="P7" t="str">
            <v>https://doi.org/10.1016/j.jclepro.2022.135510</v>
          </cell>
        </row>
        <row r="8">
          <cell r="D8" t="str">
            <v xml:space="preserve">Delpierre et al. </v>
          </cell>
          <cell r="E8">
            <v>2021</v>
          </cell>
          <cell r="F8" t="str">
            <v>Approximation</v>
          </cell>
          <cell r="G8" t="b">
            <v>1</v>
          </cell>
          <cell r="H8">
            <v>0</v>
          </cell>
          <cell r="I8">
            <v>0</v>
          </cell>
          <cell r="J8">
            <v>0</v>
          </cell>
          <cell r="K8">
            <v>0</v>
          </cell>
          <cell r="L8">
            <v>0</v>
          </cell>
          <cell r="M8">
            <v>1.9999999999999999E-6</v>
          </cell>
          <cell r="N8">
            <v>2</v>
          </cell>
          <cell r="O8" t="str">
            <v>Reference technology and expert consultation are required.</v>
          </cell>
          <cell r="P8" t="str">
            <v>https://doi.org/10.1016/j.jclepro.2021.126866</v>
          </cell>
        </row>
        <row r="9">
          <cell r="D9" t="str">
            <v>Hulst et al.</v>
          </cell>
          <cell r="E9">
            <v>2020</v>
          </cell>
          <cell r="F9" t="str">
            <v>Advanced empirical scaling</v>
          </cell>
          <cell r="G9" t="b">
            <v>0</v>
          </cell>
          <cell r="H9" t="str">
            <v>N/A</v>
          </cell>
          <cell r="I9" t="str">
            <v>N/A</v>
          </cell>
          <cell r="J9" t="str">
            <v>N/A</v>
          </cell>
          <cell r="K9" t="str">
            <v>N/A</v>
          </cell>
          <cell r="L9" t="str">
            <v/>
          </cell>
          <cell r="M9" t="str">
            <v/>
          </cell>
          <cell r="N9" t="str">
            <v>N/A</v>
          </cell>
          <cell r="O9" t="str">
            <v/>
          </cell>
          <cell r="P9" t="str">
            <v>https://doi.org/10.1111/jiec.13027</v>
          </cell>
        </row>
        <row r="10">
          <cell r="D10" t="str">
            <v xml:space="preserve">Zhou et al. </v>
          </cell>
          <cell r="E10">
            <v>2017</v>
          </cell>
          <cell r="F10" t="str">
            <v>Process engineering</v>
          </cell>
          <cell r="G10" t="b">
            <v>0</v>
          </cell>
          <cell r="H10" t="str">
            <v>N/A</v>
          </cell>
          <cell r="I10" t="str">
            <v>N/A</v>
          </cell>
          <cell r="J10" t="str">
            <v>N/A</v>
          </cell>
          <cell r="K10" t="str">
            <v>N/A</v>
          </cell>
          <cell r="L10" t="str">
            <v/>
          </cell>
          <cell r="M10" t="str">
            <v/>
          </cell>
          <cell r="N10" t="str">
            <v>N/A</v>
          </cell>
          <cell r="O10" t="str">
            <v/>
          </cell>
          <cell r="P10" t="str">
            <v>https://doi.org/10.1021/acs.iecr.7b00360</v>
          </cell>
        </row>
        <row r="11">
          <cell r="D11" t="str">
            <v>Bergesen and Suh</v>
          </cell>
          <cell r="E11">
            <v>2016</v>
          </cell>
          <cell r="F11" t="str">
            <v>Advanced empirical scaling</v>
          </cell>
          <cell r="G11" t="b">
            <v>0</v>
          </cell>
          <cell r="H11" t="str">
            <v>N/A</v>
          </cell>
          <cell r="I11" t="str">
            <v>N/A</v>
          </cell>
          <cell r="J11" t="str">
            <v>N/A</v>
          </cell>
          <cell r="K11" t="str">
            <v>N/A</v>
          </cell>
          <cell r="L11" t="str">
            <v/>
          </cell>
          <cell r="M11" t="str">
            <v/>
          </cell>
          <cell r="N11" t="str">
            <v>N/A</v>
          </cell>
          <cell r="O11" t="str">
            <v/>
          </cell>
          <cell r="P11" t="str">
            <v>https://doi.org/10.1016/j.apenergy.2016.02.013</v>
          </cell>
        </row>
        <row r="12">
          <cell r="D12" t="str">
            <v>Tecchio et al.</v>
          </cell>
          <cell r="E12">
            <v>2016</v>
          </cell>
          <cell r="F12" t="str">
            <v>Advanced empirical scaling</v>
          </cell>
          <cell r="G12" t="b">
            <v>0</v>
          </cell>
          <cell r="H12" t="str">
            <v>N/A</v>
          </cell>
          <cell r="I12" t="str">
            <v>N/A</v>
          </cell>
          <cell r="J12" t="str">
            <v>N/A</v>
          </cell>
          <cell r="K12" t="str">
            <v>N/A</v>
          </cell>
          <cell r="L12" t="str">
            <v/>
          </cell>
          <cell r="M12" t="str">
            <v/>
          </cell>
          <cell r="N12" t="str">
            <v>N/A</v>
          </cell>
          <cell r="O12" t="str">
            <v>Reference technology required.</v>
          </cell>
          <cell r="P12" t="str">
            <v>https://doi.org/10.1016/j.jclepro.2015.07.090</v>
          </cell>
        </row>
        <row r="13">
          <cell r="D13" t="str">
            <v>Piccinno et al.</v>
          </cell>
          <cell r="E13">
            <v>2016</v>
          </cell>
          <cell r="F13" t="str">
            <v>Process engineering</v>
          </cell>
          <cell r="G13" t="b">
            <v>0</v>
          </cell>
          <cell r="H13" t="str">
            <v>N/A</v>
          </cell>
          <cell r="I13" t="str">
            <v>N/A</v>
          </cell>
          <cell r="J13" t="str">
            <v>N/A</v>
          </cell>
          <cell r="K13" t="str">
            <v>N/A</v>
          </cell>
          <cell r="L13" t="str">
            <v/>
          </cell>
          <cell r="M13" t="str">
            <v/>
          </cell>
          <cell r="N13" t="str">
            <v>N/A</v>
          </cell>
          <cell r="O13" t="str">
            <v/>
          </cell>
          <cell r="P13" t="str">
            <v>https://doi.org/10.1016/j.jclepro.2016.06.164</v>
          </cell>
        </row>
        <row r="14">
          <cell r="D14" t="str">
            <v>Simon et al.</v>
          </cell>
          <cell r="E14">
            <v>2016</v>
          </cell>
          <cell r="F14" t="str">
            <v>Approximation</v>
          </cell>
          <cell r="G14" t="b">
            <v>1</v>
          </cell>
          <cell r="H14">
            <v>0</v>
          </cell>
          <cell r="I14">
            <v>0</v>
          </cell>
          <cell r="J14">
            <v>0</v>
          </cell>
          <cell r="K14">
            <v>0</v>
          </cell>
          <cell r="L14">
            <v>0</v>
          </cell>
          <cell r="M14">
            <v>3.0000000000000001E-6</v>
          </cell>
          <cell r="N14">
            <v>3</v>
          </cell>
          <cell r="O14" t="str">
            <v>Reference technology and expert consultation are required.</v>
          </cell>
          <cell r="P14" t="str">
            <v>https://doi.org/10.1002/ieam.1788</v>
          </cell>
        </row>
        <row r="15">
          <cell r="D15" t="str">
            <v>Shibasaki</v>
          </cell>
          <cell r="E15">
            <v>2009</v>
          </cell>
          <cell r="F15" t="str">
            <v>Modular influence estimation</v>
          </cell>
          <cell r="G15" t="b">
            <v>0</v>
          </cell>
          <cell r="H15" t="str">
            <v>N/A</v>
          </cell>
          <cell r="I15" t="str">
            <v>N/A</v>
          </cell>
          <cell r="J15" t="str">
            <v>N/A</v>
          </cell>
          <cell r="K15" t="str">
            <v>N/A</v>
          </cell>
          <cell r="L15" t="str">
            <v/>
          </cell>
          <cell r="M15" t="str">
            <v/>
          </cell>
          <cell r="N15" t="str">
            <v>N/A</v>
          </cell>
          <cell r="O15" t="str">
            <v>Expert consultation required.</v>
          </cell>
          <cell r="P15" t="str">
            <v>ISBN 978-3-8322-7945-5</v>
          </cell>
        </row>
        <row r="16">
          <cell r="D16" t="str">
            <v>Wernet et al.</v>
          </cell>
          <cell r="E16">
            <v>2009</v>
          </cell>
          <cell r="F16" t="str">
            <v>Molecular structure-based model</v>
          </cell>
          <cell r="G16" t="b">
            <v>0</v>
          </cell>
          <cell r="H16" t="str">
            <v>N/A</v>
          </cell>
          <cell r="I16" t="str">
            <v>N/A</v>
          </cell>
          <cell r="J16" t="str">
            <v>N/A</v>
          </cell>
          <cell r="K16" t="str">
            <v>N/A</v>
          </cell>
          <cell r="L16" t="str">
            <v/>
          </cell>
          <cell r="M16" t="str">
            <v/>
          </cell>
          <cell r="N16" t="str">
            <v>N/A</v>
          </cell>
          <cell r="O16" t="str">
            <v/>
          </cell>
          <cell r="P16" t="str">
            <v>https://doi.org/10.1039/B905558D</v>
          </cell>
        </row>
        <row r="17">
          <cell r="D17" t="str">
            <v>Szïjjarto et al.</v>
          </cell>
          <cell r="E17">
            <v>2008</v>
          </cell>
          <cell r="F17" t="str">
            <v>Process engineering</v>
          </cell>
          <cell r="G17" t="b">
            <v>0</v>
          </cell>
          <cell r="H17" t="str">
            <v>N/A</v>
          </cell>
          <cell r="I17" t="str">
            <v>N/A</v>
          </cell>
          <cell r="J17" t="str">
            <v>N/A</v>
          </cell>
          <cell r="K17" t="str">
            <v>N/A</v>
          </cell>
          <cell r="L17" t="str">
            <v/>
          </cell>
          <cell r="M17" t="str">
            <v/>
          </cell>
          <cell r="N17" t="str">
            <v>N/A</v>
          </cell>
          <cell r="O17" t="str">
            <v/>
          </cell>
          <cell r="P17" t="str">
            <v>https://doi.org/10.1021/ie071291o</v>
          </cell>
        </row>
        <row r="18">
          <cell r="D18" t="str">
            <v xml:space="preserve">Kupfer </v>
          </cell>
          <cell r="E18">
            <v>2005</v>
          </cell>
          <cell r="F18" t="str">
            <v>Modular influence estimation</v>
          </cell>
          <cell r="G18" t="b">
            <v>0</v>
          </cell>
          <cell r="H18" t="str">
            <v>N/A</v>
          </cell>
          <cell r="I18" t="str">
            <v>N/A</v>
          </cell>
          <cell r="J18" t="str">
            <v>N/A</v>
          </cell>
          <cell r="K18" t="str">
            <v>N/A</v>
          </cell>
          <cell r="L18" t="str">
            <v/>
          </cell>
          <cell r="M18" t="str">
            <v/>
          </cell>
          <cell r="N18" t="str">
            <v>N/A</v>
          </cell>
          <cell r="O18" t="str">
            <v>Expert consultation required.</v>
          </cell>
          <cell r="P18" t="str">
            <v>https://doi.org/10.18419/OPUS-1674</v>
          </cell>
        </row>
        <row r="19">
          <cell r="D19" t="str">
            <v>Geisler et al.</v>
          </cell>
          <cell r="E19">
            <v>2004</v>
          </cell>
          <cell r="F19" t="str">
            <v>Process engineering</v>
          </cell>
          <cell r="G19" t="b">
            <v>0</v>
          </cell>
          <cell r="H19" t="str">
            <v>N/A</v>
          </cell>
          <cell r="I19" t="str">
            <v>N/A</v>
          </cell>
          <cell r="J19" t="str">
            <v>N/A</v>
          </cell>
          <cell r="K19" t="str">
            <v>N/A</v>
          </cell>
          <cell r="L19" t="str">
            <v/>
          </cell>
          <cell r="M19" t="str">
            <v/>
          </cell>
          <cell r="N19" t="str">
            <v>N/A</v>
          </cell>
          <cell r="O19" t="str">
            <v/>
          </cell>
          <cell r="P19" t="str">
            <v>https://doi.org/10.1007/BF02978569</v>
          </cell>
        </row>
        <row r="20">
          <cell r="D20" t="str">
            <v>Jiménez-González et al.</v>
          </cell>
          <cell r="E20">
            <v>2000</v>
          </cell>
          <cell r="F20" t="str">
            <v>Process engineering</v>
          </cell>
          <cell r="G20" t="b">
            <v>0</v>
          </cell>
          <cell r="H20" t="str">
            <v>N/A</v>
          </cell>
          <cell r="I20" t="str">
            <v>N/A</v>
          </cell>
          <cell r="J20" t="str">
            <v>N/A</v>
          </cell>
          <cell r="K20" t="str">
            <v>N/A</v>
          </cell>
          <cell r="L20" t="str">
            <v/>
          </cell>
          <cell r="M20" t="str">
            <v/>
          </cell>
          <cell r="N20" t="str">
            <v>N/A</v>
          </cell>
          <cell r="O20" t="str">
            <v/>
          </cell>
          <cell r="P20" t="str">
            <v>https://doi.org/10.1007/BF02978615</v>
          </cell>
        </row>
      </sheetData>
      <sheetData sheetId="6"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3BFB46B-951A-42D0-AC9D-D93D7F4A3EE7}"/>
  <namedSheetView name="View2" id="{3BF276A2-5D25-4D4A-BAD0-C1CD69310BB4}"/>
</namedSheetViews>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dx.doi.org/10.1016/j.compchemeng.2024.108721" TargetMode="External"/><Relationship Id="rId3" Type="http://schemas.openxmlformats.org/officeDocument/2006/relationships/hyperlink" Target="https://doi.org/10.1016/j.scitotenv.2025.178780" TargetMode="External"/><Relationship Id="rId7" Type="http://schemas.openxmlformats.org/officeDocument/2006/relationships/hyperlink" Target="http://dx.doi.org/10.1016/j.compchemeng.2022.107798" TargetMode="External"/><Relationship Id="rId2" Type="http://schemas.openxmlformats.org/officeDocument/2006/relationships/hyperlink" Target="https://doi.org/10.1111/jiec.13558" TargetMode="External"/><Relationship Id="rId1" Type="http://schemas.openxmlformats.org/officeDocument/2006/relationships/hyperlink" Target="https://doi.org/10.1111/jiec.13557" TargetMode="External"/><Relationship Id="rId6" Type="http://schemas.openxmlformats.org/officeDocument/2006/relationships/hyperlink" Target="https://doi.org/10.1016/j.resconrec.2025.108251" TargetMode="External"/><Relationship Id="rId11" Type="http://schemas.microsoft.com/office/2019/04/relationships/namedSheetView" Target="../namedSheetViews/namedSheetView1.xml"/><Relationship Id="rId5" Type="http://schemas.openxmlformats.org/officeDocument/2006/relationships/hyperlink" Target="http://dx.doi.org/10.1016/j.scitotenv.2021.145432" TargetMode="External"/><Relationship Id="rId10" Type="http://schemas.openxmlformats.org/officeDocument/2006/relationships/printerSettings" Target="../printerSettings/printerSettings2.bin"/><Relationship Id="rId4" Type="http://schemas.openxmlformats.org/officeDocument/2006/relationships/hyperlink" Target="http://dx.doi.org/10.1016/j.apenergy.2019.114121" TargetMode="External"/><Relationship Id="rId9" Type="http://schemas.openxmlformats.org/officeDocument/2006/relationships/hyperlink" Target="https://doi.org/10.1038/s43247-025-0222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doi.org/10.1504/IJTPM.2005.008405" TargetMode="External"/><Relationship Id="rId13" Type="http://schemas.openxmlformats.org/officeDocument/2006/relationships/hyperlink" Target="https://doi.org/10.3390/wevj5030800" TargetMode="External"/><Relationship Id="rId3" Type="http://schemas.openxmlformats.org/officeDocument/2006/relationships/hyperlink" Target="https://doi.org/10.1016/j.scitotenv.2025.178780" TargetMode="External"/><Relationship Id="rId7" Type="http://schemas.openxmlformats.org/officeDocument/2006/relationships/hyperlink" Target="https://doi.org/10.1016/j.jpowsour.2017.08.041" TargetMode="External"/><Relationship Id="rId12" Type="http://schemas.openxmlformats.org/officeDocument/2006/relationships/hyperlink" Target="https://dx.doi.org/10.1504/IJGEI.2004.005894" TargetMode="External"/><Relationship Id="rId17" Type="http://schemas.openxmlformats.org/officeDocument/2006/relationships/printerSettings" Target="../printerSettings/printerSettings4.bin"/><Relationship Id="rId2" Type="http://schemas.openxmlformats.org/officeDocument/2006/relationships/hyperlink" Target="https://doi.org/10.1111/jiec.13558" TargetMode="External"/><Relationship Id="rId16" Type="http://schemas.openxmlformats.org/officeDocument/2006/relationships/hyperlink" Target="http://dx.doi.org/10.3303/CET1863058" TargetMode="External"/><Relationship Id="rId1" Type="http://schemas.openxmlformats.org/officeDocument/2006/relationships/hyperlink" Target="https://doi.org/10.1111/jiec.13557" TargetMode="External"/><Relationship Id="rId6" Type="http://schemas.openxmlformats.org/officeDocument/2006/relationships/hyperlink" Target="https://doi.org/10.3151/jact.3.53" TargetMode="External"/><Relationship Id="rId11" Type="http://schemas.openxmlformats.org/officeDocument/2006/relationships/hyperlink" Target="https://doi.org/10.3303/CET1870057" TargetMode="External"/><Relationship Id="rId5" Type="http://schemas.openxmlformats.org/officeDocument/2006/relationships/hyperlink" Target="https://doi.org/10.1038/s43247-025-02220-5" TargetMode="External"/><Relationship Id="rId15" Type="http://schemas.openxmlformats.org/officeDocument/2006/relationships/hyperlink" Target="https://doi.org/10.4028/www.scientific.net/KEM.572.535" TargetMode="External"/><Relationship Id="rId10" Type="http://schemas.openxmlformats.org/officeDocument/2006/relationships/hyperlink" Target="https://doi.org/10.1504/IJTPM.2007.015169" TargetMode="External"/><Relationship Id="rId4" Type="http://schemas.openxmlformats.org/officeDocument/2006/relationships/hyperlink" Target="https://doi.org/10.1016/j.resconrec.2025.108251" TargetMode="External"/><Relationship Id="rId9" Type="http://schemas.openxmlformats.org/officeDocument/2006/relationships/hyperlink" Target="https://doi.org/10.1186/s13068-017-0761-9" TargetMode="External"/><Relationship Id="rId14" Type="http://schemas.openxmlformats.org/officeDocument/2006/relationships/hyperlink" Target="https://doi.org/10.3303/CET18670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81F43-D6EB-4581-9241-3068C507AAE4}">
  <dimension ref="A1:W14"/>
  <sheetViews>
    <sheetView tabSelected="1" workbookViewId="0">
      <selection activeCell="B17" sqref="B17"/>
    </sheetView>
  </sheetViews>
  <sheetFormatPr defaultColWidth="9.140625" defaultRowHeight="14.25" x14ac:dyDescent="0.2"/>
  <cols>
    <col min="1" max="1" width="19.42578125" style="3" customWidth="1"/>
    <col min="2" max="2" width="100.42578125" style="3" customWidth="1"/>
    <col min="3" max="16384" width="9.140625" style="3"/>
  </cols>
  <sheetData>
    <row r="1" spans="1:23" ht="20.25" x14ac:dyDescent="0.2">
      <c r="A1" s="1" t="s">
        <v>2815</v>
      </c>
      <c r="B1" s="2"/>
      <c r="C1" s="2"/>
      <c r="D1" s="2"/>
      <c r="E1" s="2"/>
      <c r="F1" s="2"/>
      <c r="G1" s="2"/>
      <c r="H1" s="2"/>
      <c r="I1" s="2"/>
      <c r="J1" s="2"/>
      <c r="K1" s="2"/>
      <c r="L1" s="2"/>
      <c r="M1" s="2"/>
      <c r="N1" s="2"/>
      <c r="O1" s="2"/>
      <c r="P1" s="2"/>
      <c r="Q1" s="2"/>
      <c r="R1" s="2"/>
      <c r="S1" s="2"/>
      <c r="T1" s="2"/>
      <c r="U1" s="2"/>
      <c r="V1" s="2"/>
      <c r="W1" s="2"/>
    </row>
    <row r="2" spans="1:23" ht="9" customHeight="1" x14ac:dyDescent="0.2">
      <c r="A2" s="1"/>
      <c r="B2" s="2"/>
      <c r="C2" s="2"/>
      <c r="D2" s="2"/>
      <c r="E2" s="2"/>
      <c r="F2" s="2"/>
      <c r="G2" s="2"/>
      <c r="H2" s="2"/>
      <c r="I2" s="2"/>
      <c r="J2" s="2"/>
      <c r="K2" s="2"/>
      <c r="L2" s="2"/>
      <c r="M2" s="2"/>
      <c r="N2" s="2"/>
      <c r="O2" s="2"/>
      <c r="P2" s="2"/>
      <c r="Q2" s="2"/>
      <c r="R2" s="2"/>
      <c r="S2" s="2"/>
      <c r="T2" s="2"/>
      <c r="U2" s="2"/>
      <c r="V2" s="2"/>
      <c r="W2" s="2"/>
    </row>
    <row r="3" spans="1:23" ht="20.25" x14ac:dyDescent="0.2">
      <c r="A3" s="2" t="s">
        <v>3459</v>
      </c>
      <c r="B3" s="2"/>
      <c r="C3" s="2"/>
      <c r="D3" s="2"/>
      <c r="E3" s="2"/>
      <c r="F3" s="2"/>
      <c r="G3" s="2"/>
      <c r="H3" s="2"/>
      <c r="I3" s="2"/>
      <c r="J3" s="2"/>
      <c r="K3" s="2"/>
      <c r="L3" s="2"/>
      <c r="M3" s="2"/>
      <c r="N3" s="2"/>
      <c r="O3" s="2"/>
      <c r="P3" s="2"/>
      <c r="Q3" s="2"/>
      <c r="R3" s="2"/>
      <c r="S3" s="2"/>
      <c r="T3" s="2"/>
      <c r="U3" s="2"/>
      <c r="V3" s="2"/>
      <c r="W3" s="2"/>
    </row>
    <row r="4" spans="1:23" x14ac:dyDescent="0.2">
      <c r="A4" s="4"/>
      <c r="B4" s="4"/>
      <c r="C4" s="4"/>
      <c r="D4" s="4"/>
      <c r="E4" s="4"/>
      <c r="F4" s="4"/>
      <c r="G4" s="4"/>
      <c r="H4" s="4"/>
      <c r="I4" s="4"/>
      <c r="J4" s="4"/>
      <c r="K4" s="4"/>
      <c r="L4" s="4"/>
      <c r="M4" s="4"/>
      <c r="N4" s="4"/>
      <c r="O4" s="4"/>
      <c r="P4" s="4"/>
      <c r="Q4" s="4"/>
      <c r="R4" s="4"/>
      <c r="S4" s="4"/>
      <c r="T4" s="4"/>
      <c r="U4" s="4"/>
      <c r="V4" s="4"/>
      <c r="W4" s="4"/>
    </row>
    <row r="5" spans="1:23" ht="15.75" x14ac:dyDescent="0.2">
      <c r="A5" s="69" t="s">
        <v>2816</v>
      </c>
      <c r="B5" s="69"/>
      <c r="C5" s="69"/>
      <c r="D5" s="69"/>
      <c r="E5" s="69"/>
      <c r="F5" s="69"/>
      <c r="G5" s="69"/>
      <c r="H5" s="69"/>
      <c r="I5" s="69"/>
      <c r="J5" s="69"/>
      <c r="K5" s="69"/>
      <c r="L5" s="69"/>
      <c r="M5" s="69"/>
      <c r="N5" s="69"/>
      <c r="O5" s="69"/>
      <c r="P5" s="69"/>
      <c r="Q5" s="69"/>
      <c r="R5" s="69"/>
      <c r="S5" s="69"/>
      <c r="T5" s="69"/>
      <c r="U5" s="69"/>
      <c r="V5" s="69"/>
      <c r="W5" s="69"/>
    </row>
    <row r="6" spans="1:23" x14ac:dyDescent="0.2">
      <c r="A6" s="4"/>
      <c r="B6" s="4"/>
      <c r="C6" s="4"/>
      <c r="D6" s="4"/>
      <c r="E6" s="4"/>
      <c r="F6" s="4"/>
      <c r="G6" s="4"/>
      <c r="H6" s="4"/>
      <c r="I6" s="4"/>
      <c r="J6" s="4"/>
      <c r="K6" s="4"/>
      <c r="L6" s="4"/>
      <c r="M6" s="4"/>
      <c r="N6" s="4"/>
      <c r="O6" s="4"/>
      <c r="P6" s="4"/>
      <c r="Q6" s="4"/>
      <c r="R6" s="4"/>
      <c r="S6" s="4"/>
      <c r="T6" s="4"/>
      <c r="U6" s="4"/>
      <c r="V6" s="4"/>
      <c r="W6" s="4"/>
    </row>
    <row r="7" spans="1:23" x14ac:dyDescent="0.2">
      <c r="A7" s="70" t="s">
        <v>2818</v>
      </c>
      <c r="B7" s="71"/>
      <c r="C7" s="71"/>
      <c r="D7" s="71"/>
      <c r="E7" s="71"/>
      <c r="F7" s="71"/>
      <c r="G7" s="71"/>
      <c r="H7" s="71"/>
      <c r="I7" s="71"/>
      <c r="J7" s="71"/>
      <c r="K7" s="71"/>
      <c r="L7" s="71"/>
      <c r="M7" s="71"/>
      <c r="N7" s="71"/>
      <c r="O7" s="71"/>
      <c r="P7" s="71"/>
      <c r="Q7" s="71"/>
      <c r="R7" s="71"/>
      <c r="S7" s="71"/>
      <c r="T7" s="71"/>
      <c r="U7" s="71"/>
      <c r="V7" s="71"/>
      <c r="W7" s="71"/>
    </row>
    <row r="8" spans="1:23" x14ac:dyDescent="0.2">
      <c r="A8" s="70" t="s">
        <v>2817</v>
      </c>
      <c r="B8" s="70"/>
      <c r="C8" s="70"/>
      <c r="D8" s="70"/>
      <c r="E8" s="70"/>
      <c r="F8" s="70"/>
      <c r="G8" s="70"/>
      <c r="H8" s="70"/>
      <c r="I8" s="70"/>
      <c r="J8" s="70"/>
      <c r="K8" s="70"/>
      <c r="L8" s="70"/>
      <c r="M8" s="70"/>
      <c r="N8" s="70"/>
      <c r="O8" s="70"/>
      <c r="P8" s="70"/>
      <c r="Q8" s="70"/>
      <c r="R8" s="70"/>
      <c r="S8" s="70"/>
      <c r="T8" s="70"/>
      <c r="U8" s="70"/>
      <c r="V8" s="70"/>
      <c r="W8" s="70"/>
    </row>
    <row r="9" spans="1:23" x14ac:dyDescent="0.2">
      <c r="A9" s="69"/>
      <c r="B9" s="69"/>
      <c r="C9" s="69"/>
      <c r="D9" s="69"/>
      <c r="E9" s="69"/>
      <c r="F9" s="69"/>
      <c r="G9" s="69"/>
      <c r="H9" s="69"/>
      <c r="I9" s="69"/>
      <c r="J9" s="69"/>
      <c r="K9" s="69"/>
      <c r="L9" s="69"/>
      <c r="M9" s="69"/>
      <c r="N9" s="69"/>
      <c r="O9" s="69"/>
      <c r="P9" s="69"/>
      <c r="Q9" s="69"/>
      <c r="R9" s="69"/>
      <c r="S9" s="69"/>
      <c r="T9" s="69"/>
      <c r="U9" s="69"/>
      <c r="V9" s="69"/>
      <c r="W9" s="69"/>
    </row>
    <row r="10" spans="1:23" x14ac:dyDescent="0.2">
      <c r="A10" s="6"/>
      <c r="B10" s="6"/>
      <c r="C10" s="6"/>
      <c r="D10" s="6"/>
      <c r="E10" s="6"/>
      <c r="F10" s="6"/>
      <c r="G10" s="6"/>
      <c r="H10" s="6"/>
      <c r="I10" s="6"/>
      <c r="J10" s="6"/>
      <c r="K10" s="6"/>
      <c r="L10" s="6"/>
      <c r="M10" s="6"/>
      <c r="N10" s="6"/>
      <c r="O10" s="6"/>
      <c r="P10" s="6"/>
      <c r="Q10" s="6"/>
      <c r="R10" s="6"/>
      <c r="S10" s="6"/>
      <c r="T10" s="6"/>
      <c r="U10" s="6"/>
      <c r="V10" s="6"/>
      <c r="W10" s="6"/>
    </row>
    <row r="11" spans="1:23" x14ac:dyDescent="0.2">
      <c r="A11" s="23" t="s">
        <v>3257</v>
      </c>
      <c r="B11" s="24" t="s">
        <v>2814</v>
      </c>
    </row>
    <row r="12" spans="1:23" ht="36.75" customHeight="1" x14ac:dyDescent="0.2">
      <c r="A12" s="25" t="s">
        <v>3489</v>
      </c>
      <c r="B12" s="26" t="s">
        <v>3256</v>
      </c>
      <c r="C12" s="5"/>
    </row>
    <row r="13" spans="1:23" ht="21.75" customHeight="1" x14ac:dyDescent="0.2">
      <c r="A13" s="25" t="s">
        <v>3255</v>
      </c>
      <c r="B13" s="26" t="s">
        <v>3487</v>
      </c>
      <c r="C13" s="5"/>
    </row>
    <row r="14" spans="1:23" ht="57.75" customHeight="1" x14ac:dyDescent="0.2">
      <c r="A14" s="25" t="s">
        <v>2846</v>
      </c>
      <c r="B14" s="26" t="s">
        <v>3488</v>
      </c>
    </row>
  </sheetData>
  <mergeCells count="4">
    <mergeCell ref="A5:W5"/>
    <mergeCell ref="A7:W7"/>
    <mergeCell ref="A8:W8"/>
    <mergeCell ref="A9:W9"/>
  </mergeCells>
  <pageMargins left="0.7" right="0.7" top="0.75" bottom="0.75" header="0.3" footer="0.3"/>
  <pageSetup paperSize="9" orientation="portrait" verticalDpi="0" r:id="rId1"/>
  <headerFooter>
    <oddFooter>&amp;L_x000D_&amp;1#&amp;"Calibri"&amp;10&amp;K000000 Classified as | Public - Publiek (Openbaar)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2B198-E6A2-4722-AA41-135564843DE9}">
  <dimension ref="A1:AO96"/>
  <sheetViews>
    <sheetView zoomScale="70" zoomScaleNormal="70" workbookViewId="0">
      <pane xSplit="4" ySplit="2" topLeftCell="E3" activePane="bottomRight" state="frozen"/>
      <selection pane="topRight" activeCell="E1" sqref="E1"/>
      <selection pane="bottomLeft" activeCell="A3" sqref="A3"/>
      <selection pane="bottomRight" activeCell="AI2" sqref="AI2"/>
    </sheetView>
  </sheetViews>
  <sheetFormatPr defaultColWidth="8.85546875" defaultRowHeight="12.75" x14ac:dyDescent="0.2"/>
  <cols>
    <col min="1" max="1" width="45.85546875" style="7" customWidth="1"/>
    <col min="2" max="2" width="10.5703125" style="7" customWidth="1"/>
    <col min="3" max="3" width="8.28515625" style="7" bestFit="1" customWidth="1"/>
    <col min="4" max="4" width="5.7109375" style="7" customWidth="1"/>
    <col min="5" max="8" width="2.7109375" style="7" customWidth="1"/>
    <col min="9" max="19" width="3" style="7" customWidth="1"/>
    <col min="20" max="20" width="3.28515625" style="7" customWidth="1"/>
    <col min="21" max="32" width="3" style="7" customWidth="1"/>
    <col min="33" max="33" width="2.85546875" style="7" customWidth="1"/>
    <col min="34" max="36" width="3" style="7" customWidth="1"/>
    <col min="37" max="37" width="4" style="7" customWidth="1"/>
    <col min="38" max="40" width="3" style="7" customWidth="1"/>
    <col min="41" max="16384" width="8.85546875" style="7"/>
  </cols>
  <sheetData>
    <row r="1" spans="1:41" s="68" customFormat="1" ht="28.5" customHeight="1" x14ac:dyDescent="0.2">
      <c r="A1" s="72" t="s">
        <v>3490</v>
      </c>
      <c r="B1" s="73"/>
      <c r="C1" s="73"/>
      <c r="D1" s="74"/>
      <c r="E1" s="75" t="s">
        <v>3492</v>
      </c>
      <c r="F1" s="76"/>
      <c r="G1" s="76"/>
      <c r="H1" s="76"/>
      <c r="I1" s="77"/>
      <c r="J1" s="78" t="s">
        <v>2809</v>
      </c>
      <c r="K1" s="79"/>
      <c r="L1" s="79"/>
      <c r="M1" s="79"/>
      <c r="N1" s="79"/>
      <c r="O1" s="79"/>
      <c r="P1" s="80"/>
      <c r="Q1" s="84" t="s">
        <v>2812</v>
      </c>
      <c r="R1" s="85"/>
      <c r="S1" s="85"/>
      <c r="T1" s="85"/>
      <c r="U1" s="85"/>
      <c r="V1" s="85"/>
      <c r="W1" s="85"/>
      <c r="X1" s="85"/>
      <c r="Y1" s="85"/>
      <c r="Z1" s="85"/>
      <c r="AA1" s="85"/>
      <c r="AB1" s="85"/>
      <c r="AC1" s="86"/>
      <c r="AD1" s="89" t="s">
        <v>2811</v>
      </c>
      <c r="AE1" s="90"/>
      <c r="AF1" s="90"/>
      <c r="AG1" s="90"/>
      <c r="AH1" s="90"/>
      <c r="AI1" s="91"/>
      <c r="AJ1" s="87" t="s">
        <v>2807</v>
      </c>
      <c r="AK1" s="88"/>
      <c r="AL1" s="81" t="s">
        <v>2810</v>
      </c>
      <c r="AM1" s="82"/>
      <c r="AN1" s="83"/>
    </row>
    <row r="2" spans="1:41" ht="121.15" customHeight="1" x14ac:dyDescent="0.2">
      <c r="A2" s="8" t="s">
        <v>2806</v>
      </c>
      <c r="B2" s="8" t="s">
        <v>2805</v>
      </c>
      <c r="C2" s="8" t="s">
        <v>2804</v>
      </c>
      <c r="D2" s="35" t="s">
        <v>123</v>
      </c>
      <c r="E2" s="65" t="s">
        <v>2799</v>
      </c>
      <c r="F2" s="66" t="s">
        <v>2802</v>
      </c>
      <c r="G2" s="66" t="s">
        <v>2801</v>
      </c>
      <c r="H2" s="66" t="s">
        <v>2800</v>
      </c>
      <c r="I2" s="67" t="s">
        <v>2798</v>
      </c>
      <c r="J2" s="36" t="s">
        <v>3176</v>
      </c>
      <c r="K2" s="37" t="s">
        <v>3260</v>
      </c>
      <c r="L2" s="9" t="s">
        <v>2949</v>
      </c>
      <c r="M2" s="36" t="s">
        <v>2950</v>
      </c>
      <c r="N2" s="9" t="s">
        <v>2951</v>
      </c>
      <c r="O2" s="9" t="s">
        <v>3290</v>
      </c>
      <c r="P2" s="9" t="s">
        <v>3291</v>
      </c>
      <c r="Q2" s="10" t="s">
        <v>2797</v>
      </c>
      <c r="R2" s="11" t="s">
        <v>3294</v>
      </c>
      <c r="S2" s="11" t="s">
        <v>3295</v>
      </c>
      <c r="T2" s="12" t="s">
        <v>3248</v>
      </c>
      <c r="U2" s="11" t="s">
        <v>2796</v>
      </c>
      <c r="V2" s="11" t="s">
        <v>3177</v>
      </c>
      <c r="W2" s="11" t="s">
        <v>2795</v>
      </c>
      <c r="X2" s="11" t="s">
        <v>3178</v>
      </c>
      <c r="Y2" s="12" t="s">
        <v>2844</v>
      </c>
      <c r="Z2" s="11" t="s">
        <v>2842</v>
      </c>
      <c r="AA2" s="11" t="s">
        <v>3106</v>
      </c>
      <c r="AB2" s="12" t="s">
        <v>2843</v>
      </c>
      <c r="AC2" s="13" t="s">
        <v>2808</v>
      </c>
      <c r="AD2" s="14" t="s">
        <v>3054</v>
      </c>
      <c r="AE2" s="14" t="s">
        <v>2794</v>
      </c>
      <c r="AF2" s="14" t="s">
        <v>3280</v>
      </c>
      <c r="AG2" s="15" t="s">
        <v>3283</v>
      </c>
      <c r="AH2" s="15" t="s">
        <v>3282</v>
      </c>
      <c r="AI2" s="15" t="s">
        <v>3523</v>
      </c>
      <c r="AJ2" s="16" t="s">
        <v>2845</v>
      </c>
      <c r="AK2" s="17" t="s">
        <v>3491</v>
      </c>
      <c r="AL2" s="18" t="s">
        <v>3293</v>
      </c>
      <c r="AM2" s="19" t="s">
        <v>3179</v>
      </c>
      <c r="AN2" s="38" t="s">
        <v>3292</v>
      </c>
    </row>
    <row r="3" spans="1:41" ht="12.75" customHeight="1" x14ac:dyDescent="0.2">
      <c r="A3" s="21" t="s">
        <v>16</v>
      </c>
      <c r="B3" s="21" t="s">
        <v>292</v>
      </c>
      <c r="C3" s="21">
        <v>2023</v>
      </c>
      <c r="D3" s="45" t="str">
        <f>HYPERLINK("http://dx.doi.org/10.1016/j.scitotenv.2023.162038","http://dx.doi.org/10.1016/j.scitotenv.2023.162038")</f>
        <v>http://dx.doi.org/10.1016/j.scitotenv.2023.162038</v>
      </c>
      <c r="E3" s="46" t="s">
        <v>3098</v>
      </c>
      <c r="F3" s="43" t="s">
        <v>3302</v>
      </c>
      <c r="G3" s="44" t="s">
        <v>3316</v>
      </c>
      <c r="H3" s="43" t="s">
        <v>3183</v>
      </c>
      <c r="I3" s="47" t="s">
        <v>3460</v>
      </c>
      <c r="J3" s="30" t="s">
        <v>2930</v>
      </c>
      <c r="K3" s="48" t="s">
        <v>2422</v>
      </c>
      <c r="L3" s="49" t="s">
        <v>2387</v>
      </c>
      <c r="M3" s="50" t="s">
        <v>2385</v>
      </c>
      <c r="N3" s="50" t="s">
        <v>2387</v>
      </c>
      <c r="O3" s="50" t="s">
        <v>2399</v>
      </c>
      <c r="P3" s="50" t="s">
        <v>2512</v>
      </c>
      <c r="Q3" s="59" t="s">
        <v>3020</v>
      </c>
      <c r="R3" s="50" t="s">
        <v>2793</v>
      </c>
      <c r="S3" s="50" t="s">
        <v>2387</v>
      </c>
      <c r="T3" s="52" t="s">
        <v>2398</v>
      </c>
      <c r="U3" s="50" t="s">
        <v>2431</v>
      </c>
      <c r="V3" s="50" t="s">
        <v>2792</v>
      </c>
      <c r="W3" s="50" t="s">
        <v>2792</v>
      </c>
      <c r="X3" s="50" t="s">
        <v>2992</v>
      </c>
      <c r="Y3" s="52" t="s">
        <v>2791</v>
      </c>
      <c r="Z3" s="50" t="s">
        <v>2513</v>
      </c>
      <c r="AA3" s="50" t="s">
        <v>2790</v>
      </c>
      <c r="AB3" s="52" t="s">
        <v>2402</v>
      </c>
      <c r="AC3" s="53" t="s">
        <v>3109</v>
      </c>
      <c r="AD3" s="57" t="s">
        <v>3070</v>
      </c>
      <c r="AE3" s="50" t="s">
        <v>2428</v>
      </c>
      <c r="AF3" s="50" t="s">
        <v>2414</v>
      </c>
      <c r="AG3" s="50" t="s">
        <v>2387</v>
      </c>
      <c r="AH3" s="50" t="s">
        <v>3081</v>
      </c>
      <c r="AI3" s="50" t="s">
        <v>3493</v>
      </c>
      <c r="AJ3" s="56" t="s">
        <v>2413</v>
      </c>
      <c r="AK3" s="53" t="s">
        <v>2387</v>
      </c>
      <c r="AL3" s="50" t="s">
        <v>2404</v>
      </c>
      <c r="AM3" s="47" t="s">
        <v>2905</v>
      </c>
      <c r="AN3" s="55" t="s">
        <v>99</v>
      </c>
      <c r="AO3" s="7" t="s">
        <v>0</v>
      </c>
    </row>
    <row r="4" spans="1:41" ht="12.75" customHeight="1" x14ac:dyDescent="0.2">
      <c r="A4" s="21" t="s">
        <v>71</v>
      </c>
      <c r="B4" s="21" t="s">
        <v>1242</v>
      </c>
      <c r="C4" s="21">
        <v>2024</v>
      </c>
      <c r="D4" s="45" t="s">
        <v>72</v>
      </c>
      <c r="E4" s="46" t="s">
        <v>3097</v>
      </c>
      <c r="F4" s="43" t="s">
        <v>3303</v>
      </c>
      <c r="G4" s="44" t="s">
        <v>3317</v>
      </c>
      <c r="H4" s="43" t="s">
        <v>2445</v>
      </c>
      <c r="I4" s="47" t="s">
        <v>0</v>
      </c>
      <c r="J4" s="30" t="s">
        <v>2931</v>
      </c>
      <c r="K4" s="48" t="s">
        <v>2422</v>
      </c>
      <c r="L4" s="50" t="s">
        <v>2387</v>
      </c>
      <c r="M4" s="50" t="s">
        <v>2387</v>
      </c>
      <c r="N4" s="50" t="s">
        <v>2387</v>
      </c>
      <c r="O4" s="50" t="s">
        <v>2952</v>
      </c>
      <c r="P4" s="50" t="s">
        <v>2982</v>
      </c>
      <c r="Q4" s="51" t="s">
        <v>2789</v>
      </c>
      <c r="R4" s="50" t="s">
        <v>2390</v>
      </c>
      <c r="S4" s="50" t="s">
        <v>2385</v>
      </c>
      <c r="T4" s="52" t="s">
        <v>3249</v>
      </c>
      <c r="U4" s="50" t="s">
        <v>2431</v>
      </c>
      <c r="V4" s="50" t="s">
        <v>2785</v>
      </c>
      <c r="W4" s="50" t="s">
        <v>2431</v>
      </c>
      <c r="X4" s="50" t="s">
        <v>2784</v>
      </c>
      <c r="Y4" s="52" t="s">
        <v>2395</v>
      </c>
      <c r="Z4" s="50" t="s">
        <v>2441</v>
      </c>
      <c r="AA4" s="50" t="s">
        <v>2788</v>
      </c>
      <c r="AB4" s="52" t="s">
        <v>2402</v>
      </c>
      <c r="AC4" s="53" t="s">
        <v>3107</v>
      </c>
      <c r="AD4" s="50" t="s">
        <v>3058</v>
      </c>
      <c r="AE4" s="50" t="s">
        <v>2533</v>
      </c>
      <c r="AF4" s="50" t="s">
        <v>2414</v>
      </c>
      <c r="AG4" s="50" t="s">
        <v>2387</v>
      </c>
      <c r="AH4" s="50" t="s">
        <v>3081</v>
      </c>
      <c r="AI4" s="50" t="s">
        <v>3494</v>
      </c>
      <c r="AJ4" s="51" t="s">
        <v>2386</v>
      </c>
      <c r="AK4" s="52" t="s">
        <v>2385</v>
      </c>
      <c r="AL4" s="50" t="s">
        <v>99</v>
      </c>
      <c r="AM4" s="52" t="s">
        <v>99</v>
      </c>
      <c r="AN4" s="55" t="s">
        <v>99</v>
      </c>
      <c r="AO4" s="7" t="s">
        <v>0</v>
      </c>
    </row>
    <row r="5" spans="1:41" ht="12.75" customHeight="1" x14ac:dyDescent="0.2">
      <c r="A5" s="21" t="s">
        <v>2315</v>
      </c>
      <c r="B5" s="21" t="s">
        <v>2322</v>
      </c>
      <c r="C5" s="21">
        <v>2025</v>
      </c>
      <c r="D5" s="45" t="str">
        <f>HYPERLINK("http://dx.doi.org/10.1021/acs.est.4c12138","http://dx.doi.org/10.1021/acs.est.4c12138")</f>
        <v>http://dx.doi.org/10.1021/acs.est.4c12138</v>
      </c>
      <c r="E5" s="46" t="s">
        <v>3097</v>
      </c>
      <c r="F5" s="43" t="s">
        <v>3303</v>
      </c>
      <c r="G5" s="44" t="s">
        <v>3461</v>
      </c>
      <c r="H5" s="43" t="s">
        <v>2445</v>
      </c>
      <c r="I5" s="47" t="s">
        <v>3481</v>
      </c>
      <c r="J5" s="30" t="s">
        <v>2787</v>
      </c>
      <c r="K5" s="48" t="s">
        <v>2422</v>
      </c>
      <c r="L5" s="50" t="s">
        <v>2387</v>
      </c>
      <c r="M5" s="50" t="s">
        <v>2387</v>
      </c>
      <c r="N5" s="50" t="s">
        <v>2387</v>
      </c>
      <c r="O5" s="50" t="s">
        <v>2952</v>
      </c>
      <c r="P5" s="50" t="s">
        <v>2982</v>
      </c>
      <c r="Q5" s="56" t="s">
        <v>2786</v>
      </c>
      <c r="R5" s="50" t="s">
        <v>2390</v>
      </c>
      <c r="S5" s="50" t="s">
        <v>2385</v>
      </c>
      <c r="T5" s="52" t="s">
        <v>3249</v>
      </c>
      <c r="U5" s="50" t="s">
        <v>2431</v>
      </c>
      <c r="V5" s="50" t="s">
        <v>2785</v>
      </c>
      <c r="W5" s="50" t="s">
        <v>2431</v>
      </c>
      <c r="X5" s="50" t="s">
        <v>2784</v>
      </c>
      <c r="Y5" s="52" t="s">
        <v>2395</v>
      </c>
      <c r="Z5" s="50" t="s">
        <v>2441</v>
      </c>
      <c r="AA5" s="50" t="s">
        <v>2783</v>
      </c>
      <c r="AB5" s="52" t="s">
        <v>2402</v>
      </c>
      <c r="AC5" s="53" t="s">
        <v>3160</v>
      </c>
      <c r="AD5" s="50" t="s">
        <v>3058</v>
      </c>
      <c r="AE5" s="50" t="s">
        <v>2533</v>
      </c>
      <c r="AF5" s="50" t="s">
        <v>2414</v>
      </c>
      <c r="AG5" s="50" t="s">
        <v>2387</v>
      </c>
      <c r="AH5" s="50" t="s">
        <v>3081</v>
      </c>
      <c r="AI5" s="50" t="s">
        <v>3494</v>
      </c>
      <c r="AJ5" s="51" t="s">
        <v>2386</v>
      </c>
      <c r="AK5" s="52" t="s">
        <v>2385</v>
      </c>
      <c r="AL5" s="50" t="s">
        <v>2703</v>
      </c>
      <c r="AM5" s="47" t="s">
        <v>2782</v>
      </c>
      <c r="AN5" s="55" t="s">
        <v>99</v>
      </c>
      <c r="AO5" s="7" t="s">
        <v>0</v>
      </c>
    </row>
    <row r="6" spans="1:41" ht="12.75" customHeight="1" x14ac:dyDescent="0.2">
      <c r="A6" s="21" t="s">
        <v>76</v>
      </c>
      <c r="B6" s="21" t="s">
        <v>1218</v>
      </c>
      <c r="C6" s="21">
        <v>2017</v>
      </c>
      <c r="D6" s="45" t="str">
        <f>HYPERLINK("http://dx.doi.org/10.3390/en10020247","http://dx.doi.org/10.3390/en10020247")</f>
        <v>http://dx.doi.org/10.3390/en10020247</v>
      </c>
      <c r="E6" s="46" t="s">
        <v>3096</v>
      </c>
      <c r="F6" s="43" t="s">
        <v>3304</v>
      </c>
      <c r="G6" s="44" t="s">
        <v>3462</v>
      </c>
      <c r="H6" s="43" t="s">
        <v>3183</v>
      </c>
      <c r="I6" s="47" t="s">
        <v>3439</v>
      </c>
      <c r="J6" s="30" t="s">
        <v>99</v>
      </c>
      <c r="K6" s="48" t="s">
        <v>99</v>
      </c>
      <c r="L6" s="50" t="s">
        <v>2387</v>
      </c>
      <c r="M6" s="50" t="s">
        <v>2385</v>
      </c>
      <c r="N6" s="50" t="s">
        <v>2387</v>
      </c>
      <c r="O6" s="50" t="s">
        <v>2399</v>
      </c>
      <c r="P6" s="50" t="s">
        <v>2512</v>
      </c>
      <c r="Q6" s="51" t="s">
        <v>2781</v>
      </c>
      <c r="R6" s="50" t="s">
        <v>2780</v>
      </c>
      <c r="S6" s="50" t="s">
        <v>2387</v>
      </c>
      <c r="T6" s="52" t="s">
        <v>2516</v>
      </c>
      <c r="U6" s="50" t="s">
        <v>2431</v>
      </c>
      <c r="V6" s="50" t="s">
        <v>2515</v>
      </c>
      <c r="W6" s="50" t="s">
        <v>2431</v>
      </c>
      <c r="X6" s="50" t="s">
        <v>2514</v>
      </c>
      <c r="Y6" s="52" t="s">
        <v>2514</v>
      </c>
      <c r="Z6" s="50" t="s">
        <v>2513</v>
      </c>
      <c r="AA6" s="50" t="s">
        <v>3052</v>
      </c>
      <c r="AB6" s="52" t="s">
        <v>2402</v>
      </c>
      <c r="AC6" s="53" t="s">
        <v>3108</v>
      </c>
      <c r="AD6" s="57" t="s">
        <v>3066</v>
      </c>
      <c r="AE6" s="50" t="s">
        <v>2779</v>
      </c>
      <c r="AF6" s="50" t="s">
        <v>2388</v>
      </c>
      <c r="AG6" s="50" t="s">
        <v>2387</v>
      </c>
      <c r="AH6" s="50" t="s">
        <v>3091</v>
      </c>
      <c r="AI6" s="50" t="s">
        <v>3495</v>
      </c>
      <c r="AJ6" s="51" t="s">
        <v>2386</v>
      </c>
      <c r="AK6" s="52" t="s">
        <v>2387</v>
      </c>
      <c r="AL6" s="50" t="s">
        <v>99</v>
      </c>
      <c r="AM6" s="52" t="s">
        <v>99</v>
      </c>
      <c r="AN6" s="55" t="s">
        <v>99</v>
      </c>
      <c r="AO6" s="7" t="s">
        <v>0</v>
      </c>
    </row>
    <row r="7" spans="1:41" ht="12.75" customHeight="1" x14ac:dyDescent="0.2">
      <c r="A7" s="21" t="s">
        <v>94</v>
      </c>
      <c r="B7" s="21" t="s">
        <v>2319</v>
      </c>
      <c r="C7" s="21">
        <v>2011</v>
      </c>
      <c r="D7" s="45" t="str">
        <f>HYPERLINK("http://dx.doi.org/10.1088/1748-9326/6/4/045102","http://dx.doi.org/10.1088/1748-9326/6/4/045102")</f>
        <v>http://dx.doi.org/10.1088/1748-9326/6/4/045102</v>
      </c>
      <c r="E7" s="46" t="s">
        <v>3097</v>
      </c>
      <c r="F7" s="43" t="s">
        <v>3305</v>
      </c>
      <c r="G7" s="44" t="s">
        <v>3318</v>
      </c>
      <c r="H7" s="43" t="s">
        <v>2445</v>
      </c>
      <c r="I7" s="47" t="s">
        <v>3387</v>
      </c>
      <c r="J7" s="30" t="s">
        <v>2777</v>
      </c>
      <c r="K7" s="48" t="s">
        <v>2778</v>
      </c>
      <c r="L7" s="50" t="s">
        <v>2387</v>
      </c>
      <c r="M7" s="50" t="s">
        <v>2385</v>
      </c>
      <c r="N7" s="50" t="s">
        <v>2387</v>
      </c>
      <c r="O7" s="50" t="s">
        <v>2399</v>
      </c>
      <c r="P7" s="50" t="s">
        <v>2958</v>
      </c>
      <c r="Q7" s="51" t="s">
        <v>2390</v>
      </c>
      <c r="R7" s="50" t="s">
        <v>2390</v>
      </c>
      <c r="S7" s="50" t="s">
        <v>2385</v>
      </c>
      <c r="T7" s="52" t="s">
        <v>2461</v>
      </c>
      <c r="U7" s="50" t="s">
        <v>2397</v>
      </c>
      <c r="V7" s="50" t="s">
        <v>2397</v>
      </c>
      <c r="W7" s="50" t="s">
        <v>2397</v>
      </c>
      <c r="X7" s="50" t="s">
        <v>2776</v>
      </c>
      <c r="Y7" s="52" t="s">
        <v>2395</v>
      </c>
      <c r="Z7" s="50" t="s">
        <v>2441</v>
      </c>
      <c r="AA7" s="50" t="s">
        <v>2775</v>
      </c>
      <c r="AB7" s="52" t="s">
        <v>2402</v>
      </c>
      <c r="AC7" s="53" t="s">
        <v>3121</v>
      </c>
      <c r="AD7" s="50" t="s">
        <v>3053</v>
      </c>
      <c r="AE7" s="54" t="s">
        <v>2774</v>
      </c>
      <c r="AF7" s="50" t="s">
        <v>2388</v>
      </c>
      <c r="AG7" s="50" t="s">
        <v>2387</v>
      </c>
      <c r="AH7" s="50" t="s">
        <v>3083</v>
      </c>
      <c r="AI7" s="50" t="s">
        <v>0</v>
      </c>
      <c r="AJ7" s="51" t="s">
        <v>2386</v>
      </c>
      <c r="AK7" s="52" t="s">
        <v>2387</v>
      </c>
      <c r="AL7" s="50" t="s">
        <v>2404</v>
      </c>
      <c r="AM7" s="47" t="s">
        <v>2906</v>
      </c>
      <c r="AN7" s="55" t="s">
        <v>99</v>
      </c>
      <c r="AO7" s="7" t="s">
        <v>0</v>
      </c>
    </row>
    <row r="8" spans="1:41" ht="12.75" customHeight="1" x14ac:dyDescent="0.2">
      <c r="A8" s="21" t="s">
        <v>116</v>
      </c>
      <c r="B8" s="21" t="s">
        <v>1220</v>
      </c>
      <c r="C8" s="21">
        <v>2016</v>
      </c>
      <c r="D8" s="45" t="str">
        <f>HYPERLINK("http://dx.doi.org/10.1111/jiec.12342","http://dx.doi.org/10.1111/jiec.12342")</f>
        <v>http://dx.doi.org/10.1111/jiec.12342</v>
      </c>
      <c r="E8" s="46" t="s">
        <v>3104</v>
      </c>
      <c r="F8" s="43" t="s">
        <v>3306</v>
      </c>
      <c r="G8" s="44" t="s">
        <v>3390</v>
      </c>
      <c r="H8" s="43" t="s">
        <v>3181</v>
      </c>
      <c r="I8" s="47" t="s">
        <v>3391</v>
      </c>
      <c r="J8" s="30" t="s">
        <v>2518</v>
      </c>
      <c r="K8" s="48" t="s">
        <v>2773</v>
      </c>
      <c r="L8" s="50" t="s">
        <v>2387</v>
      </c>
      <c r="M8" s="50" t="s">
        <v>2385</v>
      </c>
      <c r="N8" s="50" t="s">
        <v>2387</v>
      </c>
      <c r="O8" s="50" t="s">
        <v>2399</v>
      </c>
      <c r="P8" s="50" t="s">
        <v>2512</v>
      </c>
      <c r="Q8" s="59" t="s">
        <v>3030</v>
      </c>
      <c r="R8" s="54" t="s">
        <v>2772</v>
      </c>
      <c r="S8" s="50" t="s">
        <v>2385</v>
      </c>
      <c r="T8" s="52" t="s">
        <v>2528</v>
      </c>
      <c r="U8" s="50" t="s">
        <v>2397</v>
      </c>
      <c r="V8" s="50" t="s">
        <v>2397</v>
      </c>
      <c r="W8" s="50" t="s">
        <v>3049</v>
      </c>
      <c r="X8" s="50" t="s">
        <v>2488</v>
      </c>
      <c r="Y8" s="52" t="s">
        <v>2536</v>
      </c>
      <c r="Z8" s="50" t="s">
        <v>2441</v>
      </c>
      <c r="AA8" s="50" t="s">
        <v>2771</v>
      </c>
      <c r="AB8" s="52" t="s">
        <v>2402</v>
      </c>
      <c r="AC8" s="53" t="s">
        <v>3110</v>
      </c>
      <c r="AD8" s="50" t="s">
        <v>3056</v>
      </c>
      <c r="AE8" s="50" t="s">
        <v>2647</v>
      </c>
      <c r="AF8" s="50" t="s">
        <v>2388</v>
      </c>
      <c r="AG8" s="50" t="s">
        <v>2387</v>
      </c>
      <c r="AH8" s="50" t="s">
        <v>3102</v>
      </c>
      <c r="AI8" s="50" t="s">
        <v>3496</v>
      </c>
      <c r="AJ8" s="51" t="s">
        <v>2386</v>
      </c>
      <c r="AK8" s="53" t="s">
        <v>2387</v>
      </c>
      <c r="AL8" s="50" t="s">
        <v>2404</v>
      </c>
      <c r="AM8" s="53" t="s">
        <v>2907</v>
      </c>
      <c r="AN8" s="55" t="s">
        <v>99</v>
      </c>
      <c r="AO8" s="7" t="s">
        <v>0</v>
      </c>
    </row>
    <row r="9" spans="1:41" ht="12.75" customHeight="1" x14ac:dyDescent="0.2">
      <c r="A9" s="21" t="s">
        <v>61</v>
      </c>
      <c r="B9" s="21" t="s">
        <v>293</v>
      </c>
      <c r="C9" s="21">
        <v>2016</v>
      </c>
      <c r="D9" s="45" t="str">
        <f>HYPERLINK("http://dx.doi.org/10.1088/1748-9326/11/1/014012","http://dx.doi.org/10.1088/1748-9326/11/1/014012")</f>
        <v>http://dx.doi.org/10.1088/1748-9326/11/1/014012</v>
      </c>
      <c r="E9" s="46" t="s">
        <v>3104</v>
      </c>
      <c r="F9" s="43" t="s">
        <v>3235</v>
      </c>
      <c r="G9" s="44" t="s">
        <v>3378</v>
      </c>
      <c r="H9" s="43" t="s">
        <v>3181</v>
      </c>
      <c r="I9" s="47" t="s">
        <v>3428</v>
      </c>
      <c r="J9" s="30" t="s">
        <v>2769</v>
      </c>
      <c r="K9" s="48" t="s">
        <v>2770</v>
      </c>
      <c r="L9" s="50" t="s">
        <v>2387</v>
      </c>
      <c r="M9" s="50" t="s">
        <v>2385</v>
      </c>
      <c r="N9" s="50" t="s">
        <v>2385</v>
      </c>
      <c r="O9" s="50" t="s">
        <v>2262</v>
      </c>
      <c r="P9" s="50" t="s">
        <v>2262</v>
      </c>
      <c r="Q9" s="51" t="s">
        <v>2390</v>
      </c>
      <c r="R9" s="50" t="s">
        <v>2390</v>
      </c>
      <c r="S9" s="50" t="s">
        <v>2385</v>
      </c>
      <c r="T9" s="52" t="s">
        <v>2461</v>
      </c>
      <c r="U9" s="50" t="s">
        <v>2460</v>
      </c>
      <c r="V9" s="54" t="s">
        <v>2558</v>
      </c>
      <c r="W9" s="50" t="s">
        <v>2557</v>
      </c>
      <c r="X9" s="50">
        <v>2050</v>
      </c>
      <c r="Y9" s="52">
        <v>2050</v>
      </c>
      <c r="Z9" s="50" t="s">
        <v>2441</v>
      </c>
      <c r="AA9" s="50" t="s">
        <v>3050</v>
      </c>
      <c r="AB9" s="52" t="s">
        <v>2402</v>
      </c>
      <c r="AC9" s="53" t="s">
        <v>3111</v>
      </c>
      <c r="AD9" s="50" t="s">
        <v>3056</v>
      </c>
      <c r="AE9" s="50" t="s">
        <v>2647</v>
      </c>
      <c r="AF9" s="50" t="s">
        <v>2388</v>
      </c>
      <c r="AG9" s="50" t="s">
        <v>2387</v>
      </c>
      <c r="AH9" s="50" t="s">
        <v>3102</v>
      </c>
      <c r="AI9" s="50" t="s">
        <v>3497</v>
      </c>
      <c r="AJ9" s="51" t="s">
        <v>2386</v>
      </c>
      <c r="AK9" s="58" t="s">
        <v>2387</v>
      </c>
      <c r="AL9" s="50" t="s">
        <v>99</v>
      </c>
      <c r="AM9" s="52" t="s">
        <v>99</v>
      </c>
      <c r="AN9" s="55" t="s">
        <v>99</v>
      </c>
      <c r="AO9" s="7" t="s">
        <v>0</v>
      </c>
    </row>
    <row r="10" spans="1:41" ht="12.75" customHeight="1" x14ac:dyDescent="0.2">
      <c r="A10" s="21" t="s">
        <v>63</v>
      </c>
      <c r="B10" s="21" t="s">
        <v>1211</v>
      </c>
      <c r="C10" s="21">
        <v>2019</v>
      </c>
      <c r="D10" s="45" t="str">
        <f>HYPERLINK("http://dx.doi.org/10.1016/j.rser.2019.03.030","http://dx.doi.org/10.1016/j.rser.2019.03.030")</f>
        <v>http://dx.doi.org/10.1016/j.rser.2019.03.030</v>
      </c>
      <c r="E10" s="46" t="s">
        <v>3097</v>
      </c>
      <c r="F10" s="43" t="s">
        <v>3201</v>
      </c>
      <c r="G10" s="44" t="s">
        <v>3319</v>
      </c>
      <c r="H10" s="43" t="s">
        <v>3181</v>
      </c>
      <c r="I10" s="47" t="s">
        <v>3429</v>
      </c>
      <c r="J10" s="30" t="s">
        <v>2932</v>
      </c>
      <c r="K10" s="48" t="s">
        <v>2422</v>
      </c>
      <c r="L10" s="50" t="s">
        <v>2385</v>
      </c>
      <c r="M10" s="50" t="s">
        <v>2385</v>
      </c>
      <c r="N10" s="50" t="s">
        <v>2387</v>
      </c>
      <c r="O10" s="50" t="s">
        <v>2768</v>
      </c>
      <c r="P10" s="50" t="s">
        <v>2966</v>
      </c>
      <c r="Q10" s="51" t="s">
        <v>2390</v>
      </c>
      <c r="R10" s="50" t="s">
        <v>2390</v>
      </c>
      <c r="S10" s="50" t="s">
        <v>2385</v>
      </c>
      <c r="T10" s="52" t="s">
        <v>2461</v>
      </c>
      <c r="U10" s="50" t="s">
        <v>2431</v>
      </c>
      <c r="V10" s="50" t="s">
        <v>2695</v>
      </c>
      <c r="W10" s="50" t="s">
        <v>3046</v>
      </c>
      <c r="X10" s="50" t="s">
        <v>2999</v>
      </c>
      <c r="Y10" s="52" t="s">
        <v>2395</v>
      </c>
      <c r="Z10" s="50" t="s">
        <v>2441</v>
      </c>
      <c r="AA10" s="50" t="s">
        <v>2262</v>
      </c>
      <c r="AB10" s="52" t="s">
        <v>2402</v>
      </c>
      <c r="AC10" s="52" t="s">
        <v>3112</v>
      </c>
      <c r="AD10" s="50" t="s">
        <v>3053</v>
      </c>
      <c r="AE10" s="50" t="s">
        <v>2617</v>
      </c>
      <c r="AF10" s="50" t="s">
        <v>2414</v>
      </c>
      <c r="AG10" s="50" t="s">
        <v>2387</v>
      </c>
      <c r="AH10" s="50" t="s">
        <v>3092</v>
      </c>
      <c r="AI10" s="50" t="s">
        <v>0</v>
      </c>
      <c r="AJ10" s="51" t="s">
        <v>2413</v>
      </c>
      <c r="AK10" s="47" t="s">
        <v>2387</v>
      </c>
      <c r="AL10" s="50" t="s">
        <v>99</v>
      </c>
      <c r="AM10" s="52" t="s">
        <v>99</v>
      </c>
      <c r="AN10" s="55" t="s">
        <v>99</v>
      </c>
      <c r="AO10" s="7" t="s">
        <v>0</v>
      </c>
    </row>
    <row r="11" spans="1:41" ht="12.75" customHeight="1" x14ac:dyDescent="0.2">
      <c r="A11" s="21" t="s">
        <v>31</v>
      </c>
      <c r="B11" s="21" t="s">
        <v>1208</v>
      </c>
      <c r="C11" s="21">
        <v>2020</v>
      </c>
      <c r="D11" s="45" t="str">
        <f>HYPERLINK("http://dx.doi.org/10.1016/j.apenergy.2019.114160","http://dx.doi.org/10.1016/j.apenergy.2019.114160")</f>
        <v>http://dx.doi.org/10.1016/j.apenergy.2019.114160</v>
      </c>
      <c r="E11" s="46" t="s">
        <v>3104</v>
      </c>
      <c r="F11" s="43" t="s">
        <v>3236</v>
      </c>
      <c r="G11" s="44" t="s">
        <v>3365</v>
      </c>
      <c r="H11" s="43" t="s">
        <v>2445</v>
      </c>
      <c r="I11" s="47" t="s">
        <v>3452</v>
      </c>
      <c r="J11" s="30" t="s">
        <v>99</v>
      </c>
      <c r="K11" s="48" t="s">
        <v>2767</v>
      </c>
      <c r="L11" s="50" t="s">
        <v>2387</v>
      </c>
      <c r="M11" s="50" t="s">
        <v>2385</v>
      </c>
      <c r="N11" s="50" t="s">
        <v>2385</v>
      </c>
      <c r="O11" s="50" t="s">
        <v>2399</v>
      </c>
      <c r="P11" s="50" t="s">
        <v>2512</v>
      </c>
      <c r="Q11" s="59" t="s">
        <v>3041</v>
      </c>
      <c r="R11" s="50" t="s">
        <v>2766</v>
      </c>
      <c r="S11" s="50" t="s">
        <v>2387</v>
      </c>
      <c r="T11" s="52" t="s">
        <v>2461</v>
      </c>
      <c r="U11" s="50" t="s">
        <v>2460</v>
      </c>
      <c r="V11" s="50" t="s">
        <v>3009</v>
      </c>
      <c r="W11" s="50" t="s">
        <v>2431</v>
      </c>
      <c r="X11" s="50" t="s">
        <v>2986</v>
      </c>
      <c r="Y11" s="52">
        <v>2050</v>
      </c>
      <c r="Z11" s="50" t="s">
        <v>2441</v>
      </c>
      <c r="AA11" s="50" t="s">
        <v>2765</v>
      </c>
      <c r="AB11" s="47" t="s">
        <v>2764</v>
      </c>
      <c r="AC11" s="53" t="s">
        <v>3113</v>
      </c>
      <c r="AD11" s="50" t="s">
        <v>3053</v>
      </c>
      <c r="AE11" s="50" t="s">
        <v>2617</v>
      </c>
      <c r="AF11" s="50" t="s">
        <v>2567</v>
      </c>
      <c r="AG11" s="50" t="s">
        <v>2387</v>
      </c>
      <c r="AH11" s="50" t="s">
        <v>3090</v>
      </c>
      <c r="AI11" s="50" t="s">
        <v>3498</v>
      </c>
      <c r="AJ11" s="51" t="s">
        <v>2386</v>
      </c>
      <c r="AK11" s="52" t="s">
        <v>2387</v>
      </c>
      <c r="AL11" s="50" t="s">
        <v>99</v>
      </c>
      <c r="AM11" s="52" t="s">
        <v>99</v>
      </c>
      <c r="AN11" s="55" t="s">
        <v>99</v>
      </c>
      <c r="AO11" s="7" t="s">
        <v>0</v>
      </c>
    </row>
    <row r="12" spans="1:41" ht="12.75" customHeight="1" x14ac:dyDescent="0.2">
      <c r="A12" s="21" t="s">
        <v>394</v>
      </c>
      <c r="B12" s="21" t="s">
        <v>393</v>
      </c>
      <c r="C12" s="21">
        <v>2022</v>
      </c>
      <c r="D12" s="45" t="str">
        <f>HYPERLINK("http://dx.doi.org/10.1016/j.aquaculture.2021.737717","http://dx.doi.org/10.1016/j.aquaculture.2021.737717")</f>
        <v>http://dx.doi.org/10.1016/j.aquaculture.2021.737717</v>
      </c>
      <c r="E12" s="46" t="s">
        <v>3098</v>
      </c>
      <c r="F12" s="43" t="s">
        <v>3307</v>
      </c>
      <c r="G12" s="44" t="s">
        <v>3466</v>
      </c>
      <c r="H12" s="43" t="s">
        <v>3182</v>
      </c>
      <c r="I12" s="47" t="s">
        <v>3465</v>
      </c>
      <c r="J12" s="30" t="s">
        <v>2762</v>
      </c>
      <c r="K12" s="48" t="s">
        <v>2763</v>
      </c>
      <c r="L12" s="50" t="s">
        <v>2387</v>
      </c>
      <c r="M12" s="50" t="s">
        <v>2385</v>
      </c>
      <c r="N12" s="50" t="s">
        <v>2387</v>
      </c>
      <c r="O12" s="50" t="s">
        <v>2399</v>
      </c>
      <c r="P12" s="50" t="s">
        <v>2512</v>
      </c>
      <c r="Q12" s="59" t="s">
        <v>3033</v>
      </c>
      <c r="R12" s="50" t="s">
        <v>2761</v>
      </c>
      <c r="S12" s="50" t="s">
        <v>2385</v>
      </c>
      <c r="T12" s="52" t="s">
        <v>2760</v>
      </c>
      <c r="U12" s="50" t="s">
        <v>2431</v>
      </c>
      <c r="V12" s="50" t="s">
        <v>2759</v>
      </c>
      <c r="W12" s="50" t="s">
        <v>2431</v>
      </c>
      <c r="X12" s="50" t="s">
        <v>2758</v>
      </c>
      <c r="Y12" s="52" t="s">
        <v>2395</v>
      </c>
      <c r="Z12" s="50" t="s">
        <v>2417</v>
      </c>
      <c r="AA12" s="50" t="s">
        <v>2757</v>
      </c>
      <c r="AB12" s="52" t="s">
        <v>2756</v>
      </c>
      <c r="AC12" s="53" t="s">
        <v>3122</v>
      </c>
      <c r="AD12" s="54" t="s">
        <v>3060</v>
      </c>
      <c r="AE12" s="50" t="s">
        <v>2485</v>
      </c>
      <c r="AF12" s="50" t="s">
        <v>2484</v>
      </c>
      <c r="AG12" s="50" t="s">
        <v>2387</v>
      </c>
      <c r="AH12" s="50" t="s">
        <v>3083</v>
      </c>
      <c r="AI12" s="50" t="s">
        <v>0</v>
      </c>
      <c r="AJ12" s="51" t="s">
        <v>2413</v>
      </c>
      <c r="AK12" s="53" t="s">
        <v>2387</v>
      </c>
      <c r="AL12" s="50" t="s">
        <v>99</v>
      </c>
      <c r="AM12" s="52" t="s">
        <v>99</v>
      </c>
      <c r="AN12" s="55" t="s">
        <v>99</v>
      </c>
      <c r="AO12" s="7" t="s">
        <v>0</v>
      </c>
    </row>
    <row r="13" spans="1:41" ht="12.75" customHeight="1" x14ac:dyDescent="0.2">
      <c r="A13" s="21" t="s">
        <v>65</v>
      </c>
      <c r="B13" s="21" t="s">
        <v>1195</v>
      </c>
      <c r="C13" s="21">
        <v>2024</v>
      </c>
      <c r="D13" s="45" t="str">
        <f>HYPERLINK("http://dx.doi.org/10.1016/j.heliyon.2024.e27547","http://dx.doi.org/10.1016/j.heliyon.2024.e27547")</f>
        <v>http://dx.doi.org/10.1016/j.heliyon.2024.e27547</v>
      </c>
      <c r="E13" s="46" t="s">
        <v>3104</v>
      </c>
      <c r="F13" s="43" t="s">
        <v>3241</v>
      </c>
      <c r="G13" s="44" t="s">
        <v>3357</v>
      </c>
      <c r="H13" s="43" t="s">
        <v>3182</v>
      </c>
      <c r="I13" s="47" t="s">
        <v>3397</v>
      </c>
      <c r="J13" s="30" t="s">
        <v>2755</v>
      </c>
      <c r="K13" s="48" t="s">
        <v>2422</v>
      </c>
      <c r="L13" s="50" t="s">
        <v>2387</v>
      </c>
      <c r="M13" s="50" t="s">
        <v>2385</v>
      </c>
      <c r="N13" s="50" t="s">
        <v>2387</v>
      </c>
      <c r="O13" s="50" t="s">
        <v>2711</v>
      </c>
      <c r="P13" s="50" t="s">
        <v>2957</v>
      </c>
      <c r="Q13" s="59" t="s">
        <v>3031</v>
      </c>
      <c r="R13" s="50" t="s">
        <v>3251</v>
      </c>
      <c r="S13" s="50" t="s">
        <v>2385</v>
      </c>
      <c r="T13" s="52" t="s">
        <v>2398</v>
      </c>
      <c r="U13" s="50" t="s">
        <v>2397</v>
      </c>
      <c r="V13" s="50" t="s">
        <v>2397</v>
      </c>
      <c r="W13" s="50" t="s">
        <v>2625</v>
      </c>
      <c r="X13" s="50" t="s">
        <v>2396</v>
      </c>
      <c r="Y13" s="52" t="s">
        <v>2442</v>
      </c>
      <c r="Z13" s="50" t="s">
        <v>2417</v>
      </c>
      <c r="AA13" s="50" t="s">
        <v>2262</v>
      </c>
      <c r="AB13" s="52" t="s">
        <v>2402</v>
      </c>
      <c r="AC13" s="53" t="s">
        <v>3124</v>
      </c>
      <c r="AD13" s="50" t="s">
        <v>2754</v>
      </c>
      <c r="AE13" s="50" t="s">
        <v>2428</v>
      </c>
      <c r="AF13" s="50" t="s">
        <v>2388</v>
      </c>
      <c r="AG13" s="50" t="s">
        <v>2387</v>
      </c>
      <c r="AH13" s="50" t="s">
        <v>3081</v>
      </c>
      <c r="AI13" s="50" t="s">
        <v>3493</v>
      </c>
      <c r="AJ13" s="51" t="s">
        <v>2386</v>
      </c>
      <c r="AK13" s="52" t="s">
        <v>2387</v>
      </c>
      <c r="AL13" s="50" t="s">
        <v>2404</v>
      </c>
      <c r="AM13" s="52" t="s">
        <v>2753</v>
      </c>
      <c r="AN13" s="55" t="s">
        <v>99</v>
      </c>
      <c r="AO13" s="7" t="s">
        <v>0</v>
      </c>
    </row>
    <row r="14" spans="1:41" ht="12.75" customHeight="1" x14ac:dyDescent="0.2">
      <c r="A14" s="21" t="s">
        <v>2294</v>
      </c>
      <c r="B14" s="21" t="s">
        <v>2293</v>
      </c>
      <c r="C14" s="21">
        <v>2025</v>
      </c>
      <c r="D14" s="45" t="str">
        <f>HYPERLINK("http://dx.doi.org/10.1016/j.rser.2024.114941","http://dx.doi.org/10.1016/j.rser.2024.114941")</f>
        <v>http://dx.doi.org/10.1016/j.rser.2024.114941</v>
      </c>
      <c r="E14" s="46" t="s">
        <v>3097</v>
      </c>
      <c r="F14" s="43" t="s">
        <v>3193</v>
      </c>
      <c r="G14" s="44" t="s">
        <v>3463</v>
      </c>
      <c r="H14" s="43" t="s">
        <v>2445</v>
      </c>
      <c r="I14" s="47" t="s">
        <v>3400</v>
      </c>
      <c r="J14" s="30" t="s">
        <v>2933</v>
      </c>
      <c r="K14" s="48" t="s">
        <v>99</v>
      </c>
      <c r="L14" s="50" t="s">
        <v>2387</v>
      </c>
      <c r="M14" s="50" t="s">
        <v>2385</v>
      </c>
      <c r="N14" s="50" t="s">
        <v>2387</v>
      </c>
      <c r="O14" s="50" t="s">
        <v>2399</v>
      </c>
      <c r="P14" s="50" t="s">
        <v>2512</v>
      </c>
      <c r="Q14" s="51" t="s">
        <v>2752</v>
      </c>
      <c r="R14" s="50" t="s">
        <v>2390</v>
      </c>
      <c r="S14" s="50" t="s">
        <v>2385</v>
      </c>
      <c r="T14" s="52" t="s">
        <v>2440</v>
      </c>
      <c r="U14" s="50" t="s">
        <v>2431</v>
      </c>
      <c r="V14" s="50" t="s">
        <v>2576</v>
      </c>
      <c r="W14" s="50" t="s">
        <v>2431</v>
      </c>
      <c r="X14" s="50" t="s">
        <v>2425</v>
      </c>
      <c r="Y14" s="52" t="s">
        <v>2395</v>
      </c>
      <c r="Z14" s="50" t="s">
        <v>2441</v>
      </c>
      <c r="AA14" s="50" t="s">
        <v>2751</v>
      </c>
      <c r="AB14" s="52" t="s">
        <v>2402</v>
      </c>
      <c r="AC14" s="53" t="s">
        <v>3114</v>
      </c>
      <c r="AD14" s="50" t="s">
        <v>3053</v>
      </c>
      <c r="AE14" s="50" t="s">
        <v>99</v>
      </c>
      <c r="AF14" s="50" t="s">
        <v>2288</v>
      </c>
      <c r="AG14" s="50" t="s">
        <v>2385</v>
      </c>
      <c r="AH14" s="50" t="s">
        <v>3084</v>
      </c>
      <c r="AI14" s="50" t="s">
        <v>0</v>
      </c>
      <c r="AJ14" s="56" t="s">
        <v>2413</v>
      </c>
      <c r="AK14" s="52" t="s">
        <v>2385</v>
      </c>
      <c r="AL14" s="50" t="s">
        <v>99</v>
      </c>
      <c r="AM14" s="52" t="s">
        <v>99</v>
      </c>
      <c r="AN14" s="55" t="s">
        <v>99</v>
      </c>
      <c r="AO14" s="7" t="s">
        <v>0</v>
      </c>
    </row>
    <row r="15" spans="1:41" ht="12.75" customHeight="1" x14ac:dyDescent="0.2">
      <c r="A15" s="21" t="s">
        <v>2290</v>
      </c>
      <c r="B15" s="21" t="s">
        <v>2289</v>
      </c>
      <c r="C15" s="21">
        <v>2020</v>
      </c>
      <c r="D15" s="45" t="str">
        <f>HYPERLINK("http://dx.doi.org/10.1016/j.enpol.2020.111334","http://dx.doi.org/10.1016/j.enpol.2020.111334")</f>
        <v>http://dx.doi.org/10.1016/j.enpol.2020.111334</v>
      </c>
      <c r="E15" s="46" t="s">
        <v>3097</v>
      </c>
      <c r="F15" s="43" t="s">
        <v>3193</v>
      </c>
      <c r="G15" s="44" t="s">
        <v>3335</v>
      </c>
      <c r="H15" s="43" t="s">
        <v>2445</v>
      </c>
      <c r="I15" s="47" t="s">
        <v>3413</v>
      </c>
      <c r="J15" s="30" t="s">
        <v>2934</v>
      </c>
      <c r="K15" s="48" t="s">
        <v>99</v>
      </c>
      <c r="L15" s="50" t="s">
        <v>2385</v>
      </c>
      <c r="M15" s="50" t="s">
        <v>2385</v>
      </c>
      <c r="N15" s="50" t="s">
        <v>2385</v>
      </c>
      <c r="O15" s="50" t="s">
        <v>2399</v>
      </c>
      <c r="P15" s="50" t="s">
        <v>2959</v>
      </c>
      <c r="Q15" s="59" t="s">
        <v>3017</v>
      </c>
      <c r="R15" s="50" t="s">
        <v>2390</v>
      </c>
      <c r="S15" s="50" t="s">
        <v>2385</v>
      </c>
      <c r="T15" s="52" t="s">
        <v>2440</v>
      </c>
      <c r="U15" s="50" t="s">
        <v>2431</v>
      </c>
      <c r="V15" s="50" t="s">
        <v>2576</v>
      </c>
      <c r="W15" s="50" t="s">
        <v>2431</v>
      </c>
      <c r="X15" s="50" t="s">
        <v>2750</v>
      </c>
      <c r="Y15" s="52" t="s">
        <v>2395</v>
      </c>
      <c r="Z15" s="50" t="s">
        <v>2441</v>
      </c>
      <c r="AA15" s="50" t="s">
        <v>2746</v>
      </c>
      <c r="AB15" s="52" t="s">
        <v>2402</v>
      </c>
      <c r="AC15" s="53" t="s">
        <v>2749</v>
      </c>
      <c r="AD15" s="50" t="s">
        <v>3053</v>
      </c>
      <c r="AE15" s="50" t="s">
        <v>99</v>
      </c>
      <c r="AF15" s="50" t="s">
        <v>2288</v>
      </c>
      <c r="AG15" s="50" t="s">
        <v>2385</v>
      </c>
      <c r="AH15" s="50" t="s">
        <v>3084</v>
      </c>
      <c r="AI15" s="50" t="s">
        <v>0</v>
      </c>
      <c r="AJ15" s="51" t="s">
        <v>2386</v>
      </c>
      <c r="AK15" s="52" t="s">
        <v>2385</v>
      </c>
      <c r="AL15" s="50" t="s">
        <v>99</v>
      </c>
      <c r="AM15" s="52" t="s">
        <v>99</v>
      </c>
      <c r="AN15" s="55" t="s">
        <v>99</v>
      </c>
      <c r="AO15" s="7" t="s">
        <v>0</v>
      </c>
    </row>
    <row r="16" spans="1:41" ht="12.75" customHeight="1" x14ac:dyDescent="0.2">
      <c r="A16" s="21" t="s">
        <v>1618</v>
      </c>
      <c r="B16" s="21" t="s">
        <v>1738</v>
      </c>
      <c r="C16" s="21">
        <v>2019</v>
      </c>
      <c r="D16" s="45" t="str">
        <f>HYPERLINK("http://dx.doi.org/10.1007/s12053-018-9678-9","http://dx.doi.org/10.1007/s12053-018-9678-9")</f>
        <v>http://dx.doi.org/10.1007/s12053-018-9678-9</v>
      </c>
      <c r="E16" s="46" t="s">
        <v>3097</v>
      </c>
      <c r="F16" s="43" t="s">
        <v>3193</v>
      </c>
      <c r="G16" s="44" t="s">
        <v>3335</v>
      </c>
      <c r="H16" s="43" t="s">
        <v>2445</v>
      </c>
      <c r="I16" s="47" t="s">
        <v>3467</v>
      </c>
      <c r="J16" s="30" t="s">
        <v>2934</v>
      </c>
      <c r="K16" s="48" t="s">
        <v>99</v>
      </c>
      <c r="L16" s="50" t="s">
        <v>2387</v>
      </c>
      <c r="M16" s="50" t="s">
        <v>2385</v>
      </c>
      <c r="N16" s="50" t="s">
        <v>2385</v>
      </c>
      <c r="O16" s="50" t="s">
        <v>2262</v>
      </c>
      <c r="P16" s="50" t="s">
        <v>2262</v>
      </c>
      <c r="Q16" s="51" t="s">
        <v>2748</v>
      </c>
      <c r="R16" s="50" t="s">
        <v>2390</v>
      </c>
      <c r="S16" s="50" t="s">
        <v>2385</v>
      </c>
      <c r="T16" s="52" t="s">
        <v>2440</v>
      </c>
      <c r="U16" s="50" t="s">
        <v>2431</v>
      </c>
      <c r="V16" s="50" t="s">
        <v>2747</v>
      </c>
      <c r="W16" s="50" t="s">
        <v>2431</v>
      </c>
      <c r="X16" s="50" t="s">
        <v>2488</v>
      </c>
      <c r="Y16" s="52" t="s">
        <v>2395</v>
      </c>
      <c r="Z16" s="50" t="s">
        <v>2441</v>
      </c>
      <c r="AA16" s="50" t="s">
        <v>2746</v>
      </c>
      <c r="AB16" s="52" t="s">
        <v>2402</v>
      </c>
      <c r="AC16" s="47" t="s">
        <v>3123</v>
      </c>
      <c r="AD16" s="50" t="s">
        <v>3053</v>
      </c>
      <c r="AE16" s="50" t="s">
        <v>99</v>
      </c>
      <c r="AF16" s="50" t="s">
        <v>2288</v>
      </c>
      <c r="AG16" s="50" t="s">
        <v>2385</v>
      </c>
      <c r="AH16" s="50" t="s">
        <v>3084</v>
      </c>
      <c r="AI16" s="50" t="s">
        <v>0</v>
      </c>
      <c r="AJ16" s="51" t="s">
        <v>2386</v>
      </c>
      <c r="AK16" s="52" t="s">
        <v>2385</v>
      </c>
      <c r="AL16" s="50" t="s">
        <v>99</v>
      </c>
      <c r="AM16" s="52" t="s">
        <v>99</v>
      </c>
      <c r="AN16" s="55" t="s">
        <v>99</v>
      </c>
      <c r="AO16" s="7" t="s">
        <v>0</v>
      </c>
    </row>
    <row r="17" spans="1:41" ht="12.75" customHeight="1" x14ac:dyDescent="0.2">
      <c r="A17" s="21" t="s">
        <v>2292</v>
      </c>
      <c r="B17" s="21" t="s">
        <v>2291</v>
      </c>
      <c r="C17" s="21">
        <v>2013</v>
      </c>
      <c r="D17" s="45" t="str">
        <f>HYPERLINK("http://dx.doi.org/10.1016/j.tra.2013.01.010","http://dx.doi.org/10.1016/j.tra.2013.01.010")</f>
        <v>http://dx.doi.org/10.1016/j.tra.2013.01.010</v>
      </c>
      <c r="E17" s="46" t="s">
        <v>3097</v>
      </c>
      <c r="F17" s="43" t="s">
        <v>3191</v>
      </c>
      <c r="G17" s="44" t="s">
        <v>3334</v>
      </c>
      <c r="H17" s="43" t="s">
        <v>2445</v>
      </c>
      <c r="I17" s="47" t="s">
        <v>3420</v>
      </c>
      <c r="J17" s="30" t="s">
        <v>2934</v>
      </c>
      <c r="K17" s="48" t="s">
        <v>99</v>
      </c>
      <c r="L17" s="50" t="s">
        <v>2385</v>
      </c>
      <c r="M17" s="50" t="s">
        <v>2385</v>
      </c>
      <c r="N17" s="50" t="s">
        <v>2385</v>
      </c>
      <c r="O17" s="50" t="s">
        <v>2399</v>
      </c>
      <c r="P17" s="50" t="s">
        <v>2959</v>
      </c>
      <c r="Q17" s="51" t="s">
        <v>2745</v>
      </c>
      <c r="R17" s="50" t="s">
        <v>2390</v>
      </c>
      <c r="S17" s="50" t="s">
        <v>2385</v>
      </c>
      <c r="T17" s="52" t="s">
        <v>2440</v>
      </c>
      <c r="U17" s="50" t="s">
        <v>2431</v>
      </c>
      <c r="V17" s="50" t="s">
        <v>2576</v>
      </c>
      <c r="W17" s="50" t="s">
        <v>2431</v>
      </c>
      <c r="X17" s="50" t="s">
        <v>2488</v>
      </c>
      <c r="Y17" s="52" t="s">
        <v>2395</v>
      </c>
      <c r="Z17" s="50" t="s">
        <v>2441</v>
      </c>
      <c r="AA17" s="50" t="s">
        <v>2744</v>
      </c>
      <c r="AB17" s="52" t="s">
        <v>2402</v>
      </c>
      <c r="AC17" s="53" t="s">
        <v>3115</v>
      </c>
      <c r="AD17" s="50" t="s">
        <v>3053</v>
      </c>
      <c r="AE17" s="50" t="s">
        <v>99</v>
      </c>
      <c r="AF17" s="50" t="s">
        <v>2288</v>
      </c>
      <c r="AG17" s="50" t="s">
        <v>2385</v>
      </c>
      <c r="AH17" s="50" t="s">
        <v>3084</v>
      </c>
      <c r="AI17" s="50" t="s">
        <v>0</v>
      </c>
      <c r="AJ17" s="51" t="s">
        <v>2386</v>
      </c>
      <c r="AK17" s="52" t="s">
        <v>2385</v>
      </c>
      <c r="AL17" s="50" t="s">
        <v>2404</v>
      </c>
      <c r="AM17" s="52" t="s">
        <v>2743</v>
      </c>
      <c r="AN17" s="55" t="s">
        <v>99</v>
      </c>
      <c r="AO17" s="7" t="s">
        <v>0</v>
      </c>
    </row>
    <row r="18" spans="1:41" ht="12.75" customHeight="1" x14ac:dyDescent="0.2">
      <c r="A18" s="21" t="s">
        <v>1305</v>
      </c>
      <c r="B18" s="21" t="s">
        <v>1870</v>
      </c>
      <c r="C18" s="21">
        <v>2017</v>
      </c>
      <c r="D18" s="45" t="str">
        <f>HYPERLINK("http://dx.doi.org/10.1016/j.tra.2017.01.017","http://dx.doi.org/10.1016/j.tra.2017.01.017")</f>
        <v>http://dx.doi.org/10.1016/j.tra.2017.01.017</v>
      </c>
      <c r="E18" s="46" t="s">
        <v>3097</v>
      </c>
      <c r="F18" s="43" t="s">
        <v>3192</v>
      </c>
      <c r="G18" s="44" t="s">
        <v>3333</v>
      </c>
      <c r="H18" s="43" t="s">
        <v>2445</v>
      </c>
      <c r="I18" s="47" t="s">
        <v>3393</v>
      </c>
      <c r="J18" s="30" t="s">
        <v>2934</v>
      </c>
      <c r="K18" s="48" t="s">
        <v>99</v>
      </c>
      <c r="L18" s="50" t="s">
        <v>2387</v>
      </c>
      <c r="M18" s="50" t="s">
        <v>2385</v>
      </c>
      <c r="N18" s="50" t="s">
        <v>2387</v>
      </c>
      <c r="O18" s="50" t="s">
        <v>2399</v>
      </c>
      <c r="P18" s="50" t="s">
        <v>2512</v>
      </c>
      <c r="Q18" s="51" t="s">
        <v>2742</v>
      </c>
      <c r="R18" s="50" t="s">
        <v>2390</v>
      </c>
      <c r="S18" s="50" t="s">
        <v>2385</v>
      </c>
      <c r="T18" s="52" t="s">
        <v>2440</v>
      </c>
      <c r="U18" s="50" t="s">
        <v>2431</v>
      </c>
      <c r="V18" s="50" t="s">
        <v>2576</v>
      </c>
      <c r="W18" s="50" t="s">
        <v>2431</v>
      </c>
      <c r="X18" s="50" t="s">
        <v>2488</v>
      </c>
      <c r="Y18" s="52" t="s">
        <v>2395</v>
      </c>
      <c r="Z18" s="50" t="s">
        <v>2441</v>
      </c>
      <c r="AA18" s="50" t="s">
        <v>2741</v>
      </c>
      <c r="AB18" s="52" t="s">
        <v>2402</v>
      </c>
      <c r="AC18" s="47" t="s">
        <v>3174</v>
      </c>
      <c r="AD18" s="50" t="s">
        <v>3053</v>
      </c>
      <c r="AE18" s="50" t="s">
        <v>99</v>
      </c>
      <c r="AF18" s="50" t="s">
        <v>2288</v>
      </c>
      <c r="AG18" s="50" t="s">
        <v>2385</v>
      </c>
      <c r="AH18" s="50" t="s">
        <v>3084</v>
      </c>
      <c r="AI18" s="50" t="s">
        <v>0</v>
      </c>
      <c r="AJ18" s="51" t="s">
        <v>2386</v>
      </c>
      <c r="AK18" s="52" t="s">
        <v>2387</v>
      </c>
      <c r="AL18" s="50" t="s">
        <v>2404</v>
      </c>
      <c r="AM18" s="52" t="s">
        <v>2740</v>
      </c>
      <c r="AN18" s="55" t="s">
        <v>99</v>
      </c>
      <c r="AO18" s="7" t="s">
        <v>0</v>
      </c>
    </row>
    <row r="19" spans="1:41" ht="12.75" customHeight="1" x14ac:dyDescent="0.2">
      <c r="A19" s="21" t="s">
        <v>88</v>
      </c>
      <c r="B19" s="21" t="s">
        <v>1227</v>
      </c>
      <c r="C19" s="21">
        <v>2012</v>
      </c>
      <c r="D19" s="45" t="str">
        <f>HYPERLINK("http://dx.doi.org/10.1016/j.enpol.2010.08.019","http://dx.doi.org/10.1016/j.enpol.2010.08.019")</f>
        <v>http://dx.doi.org/10.1016/j.enpol.2010.08.019</v>
      </c>
      <c r="E19" s="46" t="s">
        <v>3097</v>
      </c>
      <c r="F19" s="43" t="s">
        <v>3308</v>
      </c>
      <c r="G19" s="44" t="s">
        <v>3333</v>
      </c>
      <c r="H19" s="43" t="s">
        <v>2445</v>
      </c>
      <c r="I19" s="47" t="s">
        <v>3388</v>
      </c>
      <c r="J19" s="30" t="s">
        <v>2934</v>
      </c>
      <c r="K19" s="48" t="s">
        <v>99</v>
      </c>
      <c r="L19" s="50" t="s">
        <v>2385</v>
      </c>
      <c r="M19" s="50" t="s">
        <v>2385</v>
      </c>
      <c r="N19" s="50" t="s">
        <v>2385</v>
      </c>
      <c r="O19" s="50" t="s">
        <v>2262</v>
      </c>
      <c r="P19" s="50" t="s">
        <v>2262</v>
      </c>
      <c r="Q19" s="51" t="s">
        <v>2390</v>
      </c>
      <c r="R19" s="50" t="s">
        <v>2390</v>
      </c>
      <c r="S19" s="50" t="s">
        <v>2385</v>
      </c>
      <c r="T19" s="52" t="s">
        <v>2440</v>
      </c>
      <c r="U19" s="50" t="s">
        <v>2431</v>
      </c>
      <c r="V19" s="50" t="s">
        <v>2576</v>
      </c>
      <c r="W19" s="50" t="s">
        <v>2431</v>
      </c>
      <c r="X19" s="50" t="s">
        <v>2488</v>
      </c>
      <c r="Y19" s="52" t="s">
        <v>2395</v>
      </c>
      <c r="Z19" s="50" t="s">
        <v>2441</v>
      </c>
      <c r="AA19" s="50" t="s">
        <v>2739</v>
      </c>
      <c r="AB19" s="52" t="s">
        <v>2738</v>
      </c>
      <c r="AC19" s="53" t="s">
        <v>2737</v>
      </c>
      <c r="AD19" s="50" t="s">
        <v>3053</v>
      </c>
      <c r="AE19" s="50" t="s">
        <v>99</v>
      </c>
      <c r="AF19" s="50" t="s">
        <v>2288</v>
      </c>
      <c r="AG19" s="50" t="s">
        <v>2385</v>
      </c>
      <c r="AH19" s="50" t="s">
        <v>3084</v>
      </c>
      <c r="AI19" s="50" t="s">
        <v>0</v>
      </c>
      <c r="AJ19" s="51" t="s">
        <v>2386</v>
      </c>
      <c r="AK19" s="52" t="s">
        <v>2385</v>
      </c>
      <c r="AL19" s="50" t="s">
        <v>99</v>
      </c>
      <c r="AM19" s="52" t="s">
        <v>99</v>
      </c>
      <c r="AN19" s="55" t="s">
        <v>99</v>
      </c>
      <c r="AO19" s="7" t="s">
        <v>0</v>
      </c>
    </row>
    <row r="20" spans="1:41" ht="12.75" customHeight="1" x14ac:dyDescent="0.2">
      <c r="A20" s="21" t="s">
        <v>2297</v>
      </c>
      <c r="B20" s="21" t="s">
        <v>2295</v>
      </c>
      <c r="C20" s="21">
        <v>2025</v>
      </c>
      <c r="D20" s="45" t="str">
        <f>HYPERLINK("http://dx.doi.org/10.1016/j.rser.2024.115243","http://dx.doi.org/10.1016/j.rser.2024.115243")</f>
        <v>http://dx.doi.org/10.1016/j.rser.2024.115243</v>
      </c>
      <c r="E20" s="46" t="s">
        <v>3100</v>
      </c>
      <c r="F20" s="43" t="s">
        <v>3219</v>
      </c>
      <c r="G20" s="44" t="s">
        <v>3339</v>
      </c>
      <c r="H20" s="43" t="s">
        <v>3181</v>
      </c>
      <c r="I20" s="47" t="s">
        <v>3468</v>
      </c>
      <c r="J20" s="30" t="s">
        <v>2736</v>
      </c>
      <c r="K20" s="48" t="s">
        <v>2422</v>
      </c>
      <c r="L20" s="50" t="s">
        <v>2387</v>
      </c>
      <c r="M20" s="50" t="s">
        <v>2385</v>
      </c>
      <c r="N20" s="50" t="s">
        <v>2387</v>
      </c>
      <c r="O20" s="50" t="s">
        <v>2955</v>
      </c>
      <c r="P20" s="50" t="s">
        <v>2968</v>
      </c>
      <c r="Q20" s="51" t="s">
        <v>2735</v>
      </c>
      <c r="R20" s="50" t="s">
        <v>2734</v>
      </c>
      <c r="S20" s="50" t="s">
        <v>2387</v>
      </c>
      <c r="T20" s="52" t="s">
        <v>2440</v>
      </c>
      <c r="U20" s="50" t="s">
        <v>2397</v>
      </c>
      <c r="V20" s="50" t="s">
        <v>2397</v>
      </c>
      <c r="W20" s="50" t="s">
        <v>2668</v>
      </c>
      <c r="X20" s="50" t="s">
        <v>2733</v>
      </c>
      <c r="Y20" s="52" t="s">
        <v>2732</v>
      </c>
      <c r="Z20" s="50" t="s">
        <v>2441</v>
      </c>
      <c r="AA20" s="50" t="s">
        <v>2731</v>
      </c>
      <c r="AB20" s="52" t="s">
        <v>2402</v>
      </c>
      <c r="AC20" s="53" t="s">
        <v>3125</v>
      </c>
      <c r="AD20" s="50" t="s">
        <v>3074</v>
      </c>
      <c r="AE20" s="50" t="s">
        <v>2428</v>
      </c>
      <c r="AF20" s="50" t="s">
        <v>2388</v>
      </c>
      <c r="AG20" s="50" t="s">
        <v>2387</v>
      </c>
      <c r="AH20" s="50" t="s">
        <v>3081</v>
      </c>
      <c r="AI20" s="50" t="s">
        <v>3499</v>
      </c>
      <c r="AJ20" s="51" t="s">
        <v>2413</v>
      </c>
      <c r="AK20" s="52" t="s">
        <v>2387</v>
      </c>
      <c r="AL20" s="50" t="s">
        <v>99</v>
      </c>
      <c r="AM20" s="52" t="s">
        <v>99</v>
      </c>
      <c r="AN20" s="55" t="s">
        <v>99</v>
      </c>
      <c r="AO20" s="7" t="s">
        <v>0</v>
      </c>
    </row>
    <row r="21" spans="1:41" ht="12.75" customHeight="1" x14ac:dyDescent="0.2">
      <c r="A21" s="21" t="s">
        <v>68</v>
      </c>
      <c r="B21" s="21" t="s">
        <v>340</v>
      </c>
      <c r="C21" s="21">
        <v>2022</v>
      </c>
      <c r="D21" s="45" t="str">
        <f>HYPERLINK("http://dx.doi.org/10.1088/1748-9326/ac4fdb","http://dx.doi.org/10.1088/1748-9326/ac4fdb")</f>
        <v>http://dx.doi.org/10.1088/1748-9326/ac4fdb</v>
      </c>
      <c r="E21" s="46" t="s">
        <v>3100</v>
      </c>
      <c r="F21" s="43" t="s">
        <v>3220</v>
      </c>
      <c r="G21" s="44" t="s">
        <v>3366</v>
      </c>
      <c r="H21" s="43" t="s">
        <v>3181</v>
      </c>
      <c r="I21" s="47" t="s">
        <v>3416</v>
      </c>
      <c r="J21" s="30" t="s">
        <v>2935</v>
      </c>
      <c r="K21" s="48" t="s">
        <v>2422</v>
      </c>
      <c r="L21" s="50" t="s">
        <v>2387</v>
      </c>
      <c r="M21" s="50" t="s">
        <v>2385</v>
      </c>
      <c r="N21" s="50" t="s">
        <v>2387</v>
      </c>
      <c r="O21" s="50" t="s">
        <v>2955</v>
      </c>
      <c r="P21" s="50" t="s">
        <v>2512</v>
      </c>
      <c r="Q21" s="51" t="s">
        <v>3022</v>
      </c>
      <c r="R21" s="50" t="s">
        <v>3252</v>
      </c>
      <c r="S21" s="50" t="s">
        <v>2385</v>
      </c>
      <c r="T21" s="52" t="s">
        <v>2440</v>
      </c>
      <c r="U21" s="50" t="s">
        <v>2460</v>
      </c>
      <c r="V21" s="50" t="s">
        <v>3008</v>
      </c>
      <c r="W21" s="50" t="s">
        <v>3047</v>
      </c>
      <c r="X21" s="50" t="s">
        <v>2396</v>
      </c>
      <c r="Y21" s="52" t="s">
        <v>2442</v>
      </c>
      <c r="Z21" s="50" t="s">
        <v>2441</v>
      </c>
      <c r="AA21" s="50" t="s">
        <v>2730</v>
      </c>
      <c r="AB21" s="52" t="s">
        <v>2402</v>
      </c>
      <c r="AC21" s="53" t="s">
        <v>3126</v>
      </c>
      <c r="AD21" s="50" t="s">
        <v>3053</v>
      </c>
      <c r="AE21" s="50" t="s">
        <v>2546</v>
      </c>
      <c r="AF21" s="50" t="s">
        <v>2414</v>
      </c>
      <c r="AG21" s="50" t="s">
        <v>2387</v>
      </c>
      <c r="AH21" s="50" t="s">
        <v>3081</v>
      </c>
      <c r="AI21" s="50" t="s">
        <v>3499</v>
      </c>
      <c r="AJ21" s="51" t="s">
        <v>2413</v>
      </c>
      <c r="AK21" s="52" t="s">
        <v>2387</v>
      </c>
      <c r="AL21" s="50" t="s">
        <v>2404</v>
      </c>
      <c r="AM21" s="52" t="s">
        <v>2908</v>
      </c>
      <c r="AN21" s="55" t="s">
        <v>2501</v>
      </c>
      <c r="AO21" s="7" t="s">
        <v>0</v>
      </c>
    </row>
    <row r="22" spans="1:41" ht="12.75" customHeight="1" x14ac:dyDescent="0.2">
      <c r="A22" s="21" t="s">
        <v>333</v>
      </c>
      <c r="B22" s="21" t="s">
        <v>332</v>
      </c>
      <c r="C22" s="21">
        <v>2022</v>
      </c>
      <c r="D22" s="45" t="str">
        <f>HYPERLINK("http://dx.doi.org/10.1016/j.wasman.2022.04.006","http://dx.doi.org/10.1016/j.wasman.2022.04.006")</f>
        <v>http://dx.doi.org/10.1016/j.wasman.2022.04.006</v>
      </c>
      <c r="E22" s="46" t="s">
        <v>3097</v>
      </c>
      <c r="F22" s="43" t="s">
        <v>3199</v>
      </c>
      <c r="G22" s="44" t="s">
        <v>3347</v>
      </c>
      <c r="H22" s="43" t="s">
        <v>3180</v>
      </c>
      <c r="I22" s="47" t="s">
        <v>3409</v>
      </c>
      <c r="J22" s="30" t="s">
        <v>99</v>
      </c>
      <c r="K22" s="48" t="s">
        <v>2422</v>
      </c>
      <c r="L22" s="50" t="s">
        <v>2387</v>
      </c>
      <c r="M22" s="50" t="s">
        <v>2385</v>
      </c>
      <c r="N22" s="50" t="s">
        <v>2387</v>
      </c>
      <c r="O22" s="50" t="s">
        <v>2399</v>
      </c>
      <c r="P22" s="50" t="s">
        <v>2512</v>
      </c>
      <c r="Q22" s="59" t="s">
        <v>3025</v>
      </c>
      <c r="R22" s="50" t="s">
        <v>2729</v>
      </c>
      <c r="S22" s="50" t="s">
        <v>2385</v>
      </c>
      <c r="T22" s="52" t="s">
        <v>2398</v>
      </c>
      <c r="U22" s="50" t="s">
        <v>2431</v>
      </c>
      <c r="V22" s="50" t="s">
        <v>2444</v>
      </c>
      <c r="W22" s="50" t="s">
        <v>2431</v>
      </c>
      <c r="X22" s="50" t="s">
        <v>2995</v>
      </c>
      <c r="Y22" s="52" t="s">
        <v>2395</v>
      </c>
      <c r="Z22" s="50" t="s">
        <v>2394</v>
      </c>
      <c r="AA22" s="50" t="s">
        <v>2728</v>
      </c>
      <c r="AB22" s="52" t="s">
        <v>2402</v>
      </c>
      <c r="AC22" s="53" t="s">
        <v>3116</v>
      </c>
      <c r="AD22" s="50" t="s">
        <v>3075</v>
      </c>
      <c r="AE22" s="50" t="s">
        <v>2526</v>
      </c>
      <c r="AF22" s="50" t="s">
        <v>2388</v>
      </c>
      <c r="AG22" s="50" t="s">
        <v>2387</v>
      </c>
      <c r="AH22" s="50" t="s">
        <v>3083</v>
      </c>
      <c r="AI22" s="50" t="s">
        <v>0</v>
      </c>
      <c r="AJ22" s="51" t="s">
        <v>2386</v>
      </c>
      <c r="AK22" s="52" t="s">
        <v>2385</v>
      </c>
      <c r="AL22" s="50" t="s">
        <v>2404</v>
      </c>
      <c r="AM22" s="60" t="s">
        <v>2727</v>
      </c>
      <c r="AN22" s="55" t="s">
        <v>99</v>
      </c>
      <c r="AO22" s="7" t="s">
        <v>0</v>
      </c>
    </row>
    <row r="23" spans="1:41" ht="12.75" customHeight="1" x14ac:dyDescent="0.2">
      <c r="A23" s="21" t="s">
        <v>126</v>
      </c>
      <c r="B23" s="21" t="s">
        <v>125</v>
      </c>
      <c r="C23" s="21">
        <v>2024</v>
      </c>
      <c r="D23" s="45" t="str">
        <f>HYPERLINK("http://dx.doi.org/10.1111/jiec.13432","http://dx.doi.org/10.1111/jiec.13432")</f>
        <v>http://dx.doi.org/10.1111/jiec.13432</v>
      </c>
      <c r="E23" s="46" t="s">
        <v>3098</v>
      </c>
      <c r="F23" s="43" t="s">
        <v>3228</v>
      </c>
      <c r="G23" s="44" t="s">
        <v>3469</v>
      </c>
      <c r="H23" s="43" t="s">
        <v>3181</v>
      </c>
      <c r="I23" s="47" t="s">
        <v>3419</v>
      </c>
      <c r="J23" s="30" t="s">
        <v>2725</v>
      </c>
      <c r="K23" s="64" t="s">
        <v>2726</v>
      </c>
      <c r="L23" s="50" t="s">
        <v>2387</v>
      </c>
      <c r="M23" s="50" t="s">
        <v>2387</v>
      </c>
      <c r="N23" s="50" t="s">
        <v>2387</v>
      </c>
      <c r="O23" s="50" t="s">
        <v>2954</v>
      </c>
      <c r="P23" s="50" t="s">
        <v>2971</v>
      </c>
      <c r="Q23" s="59" t="s">
        <v>3024</v>
      </c>
      <c r="R23" s="54" t="s">
        <v>2724</v>
      </c>
      <c r="S23" s="50" t="s">
        <v>2385</v>
      </c>
      <c r="T23" s="52" t="s">
        <v>3249</v>
      </c>
      <c r="U23" s="50" t="s">
        <v>2431</v>
      </c>
      <c r="V23" s="50" t="s">
        <v>2723</v>
      </c>
      <c r="W23" s="50" t="s">
        <v>2431</v>
      </c>
      <c r="X23" s="50" t="s">
        <v>2722</v>
      </c>
      <c r="Y23" s="52" t="s">
        <v>2721</v>
      </c>
      <c r="Z23" s="50" t="s">
        <v>2441</v>
      </c>
      <c r="AA23" s="50" t="s">
        <v>2262</v>
      </c>
      <c r="AB23" s="52" t="s">
        <v>2983</v>
      </c>
      <c r="AC23" s="53" t="s">
        <v>3127</v>
      </c>
      <c r="AD23" s="50" t="s">
        <v>3053</v>
      </c>
      <c r="AE23" s="50" t="s">
        <v>2389</v>
      </c>
      <c r="AF23" s="50" t="s">
        <v>2414</v>
      </c>
      <c r="AG23" s="50" t="s">
        <v>2387</v>
      </c>
      <c r="AH23" s="50" t="s">
        <v>3083</v>
      </c>
      <c r="AI23" s="50" t="s">
        <v>0</v>
      </c>
      <c r="AJ23" s="51" t="s">
        <v>2386</v>
      </c>
      <c r="AK23" s="52" t="s">
        <v>2387</v>
      </c>
      <c r="AL23" s="50" t="s">
        <v>99</v>
      </c>
      <c r="AM23" s="52" t="s">
        <v>99</v>
      </c>
      <c r="AN23" s="55" t="s">
        <v>99</v>
      </c>
      <c r="AO23" s="7" t="s">
        <v>0</v>
      </c>
    </row>
    <row r="24" spans="1:41" ht="12.75" customHeight="1" x14ac:dyDescent="0.2">
      <c r="A24" s="21" t="s">
        <v>100</v>
      </c>
      <c r="B24" s="21" t="s">
        <v>1273</v>
      </c>
      <c r="C24" s="21">
        <v>2017</v>
      </c>
      <c r="D24" s="45" t="str">
        <f>HYPERLINK("http://dx.doi.org/10.1088/1748-9326/aa6047","http://dx.doi.org/10.1088/1748-9326/aa6047")</f>
        <v>http://dx.doi.org/10.1088/1748-9326/aa6047</v>
      </c>
      <c r="E24" s="46" t="s">
        <v>3104</v>
      </c>
      <c r="F24" s="43" t="s">
        <v>3242</v>
      </c>
      <c r="G24" s="44" t="s">
        <v>3358</v>
      </c>
      <c r="H24" s="43" t="s">
        <v>2445</v>
      </c>
      <c r="I24" s="53" t="s">
        <v>3407</v>
      </c>
      <c r="J24" s="30" t="s">
        <v>2719</v>
      </c>
      <c r="K24" s="48" t="s">
        <v>2720</v>
      </c>
      <c r="L24" s="50" t="s">
        <v>2387</v>
      </c>
      <c r="M24" s="50" t="s">
        <v>2385</v>
      </c>
      <c r="N24" s="50" t="s">
        <v>2385</v>
      </c>
      <c r="O24" s="50" t="s">
        <v>2399</v>
      </c>
      <c r="P24" s="50" t="s">
        <v>2960</v>
      </c>
      <c r="Q24" s="51" t="s">
        <v>2390</v>
      </c>
      <c r="R24" s="50" t="s">
        <v>2390</v>
      </c>
      <c r="S24" s="50" t="s">
        <v>2385</v>
      </c>
      <c r="T24" s="52" t="s">
        <v>2461</v>
      </c>
      <c r="U24" s="50" t="s">
        <v>2397</v>
      </c>
      <c r="V24" s="50" t="s">
        <v>2397</v>
      </c>
      <c r="W24" s="50" t="s">
        <v>3049</v>
      </c>
      <c r="X24" s="50" t="s">
        <v>2488</v>
      </c>
      <c r="Y24" s="52" t="s">
        <v>2395</v>
      </c>
      <c r="Z24" s="50" t="s">
        <v>2441</v>
      </c>
      <c r="AA24" s="50" t="s">
        <v>2718</v>
      </c>
      <c r="AB24" s="52" t="s">
        <v>2402</v>
      </c>
      <c r="AC24" s="53" t="s">
        <v>3117</v>
      </c>
      <c r="AD24" s="50" t="s">
        <v>3056</v>
      </c>
      <c r="AE24" s="50" t="s">
        <v>2590</v>
      </c>
      <c r="AF24" s="50" t="s">
        <v>2388</v>
      </c>
      <c r="AG24" s="50" t="s">
        <v>2387</v>
      </c>
      <c r="AH24" s="50" t="s">
        <v>3102</v>
      </c>
      <c r="AI24" s="50" t="s">
        <v>3496</v>
      </c>
      <c r="AJ24" s="51" t="s">
        <v>2413</v>
      </c>
      <c r="AK24" s="53" t="s">
        <v>2387</v>
      </c>
      <c r="AL24" s="50" t="s">
        <v>2404</v>
      </c>
      <c r="AM24" s="47" t="s">
        <v>2909</v>
      </c>
      <c r="AN24" s="55" t="s">
        <v>99</v>
      </c>
      <c r="AO24" s="7" t="s">
        <v>0</v>
      </c>
    </row>
    <row r="25" spans="1:41" ht="12.75" customHeight="1" x14ac:dyDescent="0.2">
      <c r="A25" s="21" t="s">
        <v>974</v>
      </c>
      <c r="B25" s="21" t="s">
        <v>973</v>
      </c>
      <c r="C25" s="21">
        <v>2024</v>
      </c>
      <c r="D25" s="45" t="str">
        <f>HYPERLINK("http://dx.doi.org/10.1111/jiec.13527","http://dx.doi.org/10.1111/jiec.13527")</f>
        <v>http://dx.doi.org/10.1111/jiec.13527</v>
      </c>
      <c r="E25" s="46" t="s">
        <v>3254</v>
      </c>
      <c r="F25" s="43" t="s">
        <v>3309</v>
      </c>
      <c r="G25" s="44" t="s">
        <v>3340</v>
      </c>
      <c r="H25" s="43" t="s">
        <v>3180</v>
      </c>
      <c r="I25" s="47" t="s">
        <v>3446</v>
      </c>
      <c r="J25" s="30" t="s">
        <v>2716</v>
      </c>
      <c r="K25" s="48" t="s">
        <v>2717</v>
      </c>
      <c r="L25" s="50" t="s">
        <v>2387</v>
      </c>
      <c r="M25" s="50" t="s">
        <v>2387</v>
      </c>
      <c r="N25" s="50" t="s">
        <v>2387</v>
      </c>
      <c r="O25" s="50" t="s">
        <v>2955</v>
      </c>
      <c r="P25" s="50" t="s">
        <v>2968</v>
      </c>
      <c r="Q25" s="56" t="s">
        <v>3021</v>
      </c>
      <c r="R25" s="50" t="s">
        <v>2715</v>
      </c>
      <c r="S25" s="50" t="s">
        <v>2387</v>
      </c>
      <c r="T25" s="52" t="s">
        <v>2440</v>
      </c>
      <c r="U25" s="50" t="s">
        <v>2460</v>
      </c>
      <c r="V25" s="50" t="s">
        <v>2714</v>
      </c>
      <c r="W25" s="50" t="s">
        <v>2714</v>
      </c>
      <c r="X25" s="50" t="s">
        <v>2396</v>
      </c>
      <c r="Y25" s="52" t="s">
        <v>2395</v>
      </c>
      <c r="Z25" s="50" t="s">
        <v>2394</v>
      </c>
      <c r="AA25" s="50" t="s">
        <v>2713</v>
      </c>
      <c r="AB25" s="52" t="s">
        <v>2402</v>
      </c>
      <c r="AC25" s="53" t="s">
        <v>3118</v>
      </c>
      <c r="AD25" s="50" t="s">
        <v>3053</v>
      </c>
      <c r="AE25" s="50" t="s">
        <v>2533</v>
      </c>
      <c r="AF25" s="50" t="s">
        <v>2414</v>
      </c>
      <c r="AG25" s="50" t="s">
        <v>2387</v>
      </c>
      <c r="AH25" s="50" t="s">
        <v>3081</v>
      </c>
      <c r="AI25" s="50" t="s">
        <v>3499</v>
      </c>
      <c r="AJ25" s="51" t="s">
        <v>2386</v>
      </c>
      <c r="AK25" s="52" t="s">
        <v>2387</v>
      </c>
      <c r="AL25" s="50" t="s">
        <v>99</v>
      </c>
      <c r="AM25" s="52" t="s">
        <v>99</v>
      </c>
      <c r="AN25" s="55" t="s">
        <v>99</v>
      </c>
      <c r="AO25" s="7" t="s">
        <v>0</v>
      </c>
    </row>
    <row r="26" spans="1:41" ht="12.75" customHeight="1" x14ac:dyDescent="0.2">
      <c r="A26" s="21" t="s">
        <v>2354</v>
      </c>
      <c r="B26" s="21" t="s">
        <v>2355</v>
      </c>
      <c r="C26" s="21">
        <v>2025</v>
      </c>
      <c r="D26" s="45" t="s">
        <v>2353</v>
      </c>
      <c r="E26" s="46" t="s">
        <v>3104</v>
      </c>
      <c r="F26" s="43" t="s">
        <v>3237</v>
      </c>
      <c r="G26" s="44" t="s">
        <v>3363</v>
      </c>
      <c r="H26" s="43" t="s">
        <v>3181</v>
      </c>
      <c r="I26" s="47" t="s">
        <v>3422</v>
      </c>
      <c r="J26" s="30" t="s">
        <v>2712</v>
      </c>
      <c r="K26" s="48" t="s">
        <v>2422</v>
      </c>
      <c r="L26" s="50" t="s">
        <v>2387</v>
      </c>
      <c r="M26" s="50" t="s">
        <v>2387</v>
      </c>
      <c r="N26" s="50" t="s">
        <v>2387</v>
      </c>
      <c r="O26" s="50" t="s">
        <v>2711</v>
      </c>
      <c r="P26" s="50" t="s">
        <v>2956</v>
      </c>
      <c r="Q26" s="59" t="s">
        <v>3015</v>
      </c>
      <c r="R26" s="50" t="s">
        <v>2710</v>
      </c>
      <c r="S26" s="50" t="s">
        <v>2387</v>
      </c>
      <c r="T26" s="52" t="s">
        <v>2461</v>
      </c>
      <c r="U26" s="50" t="s">
        <v>2431</v>
      </c>
      <c r="V26" s="50" t="s">
        <v>2432</v>
      </c>
      <c r="W26" s="50" t="s">
        <v>2431</v>
      </c>
      <c r="X26" s="50" t="s">
        <v>2396</v>
      </c>
      <c r="Y26" s="52" t="s">
        <v>2487</v>
      </c>
      <c r="Z26" s="50" t="s">
        <v>2441</v>
      </c>
      <c r="AA26" s="50" t="s">
        <v>2709</v>
      </c>
      <c r="AB26" s="52" t="s">
        <v>2402</v>
      </c>
      <c r="AC26" s="53" t="s">
        <v>3128</v>
      </c>
      <c r="AD26" s="50" t="s">
        <v>3055</v>
      </c>
      <c r="AE26" s="50" t="s">
        <v>2704</v>
      </c>
      <c r="AF26" s="50" t="s">
        <v>2414</v>
      </c>
      <c r="AG26" s="50" t="s">
        <v>2387</v>
      </c>
      <c r="AH26" s="50" t="s">
        <v>3081</v>
      </c>
      <c r="AI26" s="50" t="s">
        <v>3500</v>
      </c>
      <c r="AJ26" s="56" t="s">
        <v>2386</v>
      </c>
      <c r="AK26" s="52" t="s">
        <v>2387</v>
      </c>
      <c r="AL26" s="50" t="s">
        <v>99</v>
      </c>
      <c r="AM26" s="52" t="s">
        <v>99</v>
      </c>
      <c r="AN26" s="55" t="s">
        <v>99</v>
      </c>
      <c r="AO26" s="7" t="s">
        <v>0</v>
      </c>
    </row>
    <row r="27" spans="1:41" ht="12.75" customHeight="1" x14ac:dyDescent="0.2">
      <c r="A27" s="21" t="s">
        <v>2326</v>
      </c>
      <c r="B27" s="21" t="s">
        <v>2325</v>
      </c>
      <c r="C27" s="21">
        <v>2025</v>
      </c>
      <c r="D27" s="45" t="s">
        <v>2327</v>
      </c>
      <c r="E27" s="46" t="s">
        <v>3104</v>
      </c>
      <c r="F27" s="43" t="s">
        <v>3237</v>
      </c>
      <c r="G27" s="44" t="s">
        <v>3364</v>
      </c>
      <c r="H27" s="43" t="s">
        <v>3184</v>
      </c>
      <c r="I27" s="47" t="s">
        <v>3421</v>
      </c>
      <c r="J27" s="30" t="s">
        <v>2708</v>
      </c>
      <c r="K27" s="48" t="s">
        <v>2422</v>
      </c>
      <c r="L27" s="50" t="s">
        <v>2387</v>
      </c>
      <c r="M27" s="50" t="s">
        <v>2387</v>
      </c>
      <c r="N27" s="50" t="s">
        <v>2387</v>
      </c>
      <c r="O27" s="50" t="s">
        <v>2952</v>
      </c>
      <c r="P27" s="50" t="s">
        <v>2974</v>
      </c>
      <c r="Q27" s="59" t="s">
        <v>3016</v>
      </c>
      <c r="R27" s="50" t="s">
        <v>2707</v>
      </c>
      <c r="S27" s="50" t="s">
        <v>2387</v>
      </c>
      <c r="T27" s="52" t="s">
        <v>2461</v>
      </c>
      <c r="U27" s="50" t="s">
        <v>2431</v>
      </c>
      <c r="V27" s="50" t="s">
        <v>2432</v>
      </c>
      <c r="W27" s="50" t="s">
        <v>2431</v>
      </c>
      <c r="X27" s="50" t="s">
        <v>2396</v>
      </c>
      <c r="Y27" s="52" t="s">
        <v>2487</v>
      </c>
      <c r="Z27" s="50" t="s">
        <v>2448</v>
      </c>
      <c r="AA27" s="50" t="s">
        <v>2706</v>
      </c>
      <c r="AB27" s="52" t="s">
        <v>2705</v>
      </c>
      <c r="AC27" s="53" t="s">
        <v>3119</v>
      </c>
      <c r="AD27" s="50" t="s">
        <v>3067</v>
      </c>
      <c r="AE27" s="50" t="s">
        <v>2704</v>
      </c>
      <c r="AF27" s="50" t="s">
        <v>2414</v>
      </c>
      <c r="AG27" s="50" t="s">
        <v>2387</v>
      </c>
      <c r="AH27" s="50" t="s">
        <v>3081</v>
      </c>
      <c r="AI27" s="50" t="s">
        <v>3500</v>
      </c>
      <c r="AJ27" s="51" t="s">
        <v>2386</v>
      </c>
      <c r="AK27" s="53" t="s">
        <v>2387</v>
      </c>
      <c r="AL27" s="50" t="s">
        <v>2703</v>
      </c>
      <c r="AM27" s="53" t="s">
        <v>2702</v>
      </c>
      <c r="AN27" s="55" t="s">
        <v>2501</v>
      </c>
      <c r="AO27" s="7" t="s">
        <v>0</v>
      </c>
    </row>
    <row r="28" spans="1:41" ht="12.75" customHeight="1" x14ac:dyDescent="0.2">
      <c r="A28" s="21" t="s">
        <v>32</v>
      </c>
      <c r="B28" s="21" t="s">
        <v>1241</v>
      </c>
      <c r="C28" s="21">
        <v>2015</v>
      </c>
      <c r="D28" s="45" t="str">
        <f>HYPERLINK("http://dx.doi.org/10.1073/pnas.1312753111","http://dx.doi.org/10.1073/pnas.1312753111")</f>
        <v>http://dx.doi.org/10.1073/pnas.1312753111</v>
      </c>
      <c r="E28" s="46" t="s">
        <v>3104</v>
      </c>
      <c r="F28" s="43" t="s">
        <v>3242</v>
      </c>
      <c r="G28" s="44" t="s">
        <v>3358</v>
      </c>
      <c r="H28" s="43" t="s">
        <v>2445</v>
      </c>
      <c r="I28" s="47" t="s">
        <v>3430</v>
      </c>
      <c r="J28" s="30" t="s">
        <v>2700</v>
      </c>
      <c r="K28" s="48" t="s">
        <v>2701</v>
      </c>
      <c r="L28" s="50" t="s">
        <v>2387</v>
      </c>
      <c r="M28" s="50" t="s">
        <v>2385</v>
      </c>
      <c r="N28" s="50" t="s">
        <v>2387</v>
      </c>
      <c r="O28" s="50" t="s">
        <v>2699</v>
      </c>
      <c r="P28" s="50" t="s">
        <v>2967</v>
      </c>
      <c r="Q28" s="59" t="s">
        <v>3032</v>
      </c>
      <c r="R28" s="50" t="s">
        <v>2390</v>
      </c>
      <c r="S28" s="50" t="s">
        <v>2385</v>
      </c>
      <c r="T28" s="52" t="s">
        <v>2461</v>
      </c>
      <c r="U28" s="50" t="s">
        <v>2397</v>
      </c>
      <c r="V28" s="50" t="s">
        <v>2397</v>
      </c>
      <c r="W28" s="50" t="s">
        <v>3049</v>
      </c>
      <c r="X28" s="50" t="s">
        <v>2488</v>
      </c>
      <c r="Y28" s="52" t="s">
        <v>2395</v>
      </c>
      <c r="Z28" s="50" t="s">
        <v>2441</v>
      </c>
      <c r="AA28" s="50" t="s">
        <v>2698</v>
      </c>
      <c r="AB28" s="52" t="s">
        <v>2402</v>
      </c>
      <c r="AC28" s="53" t="s">
        <v>3117</v>
      </c>
      <c r="AD28" s="50" t="s">
        <v>3056</v>
      </c>
      <c r="AE28" s="54" t="s">
        <v>2647</v>
      </c>
      <c r="AF28" s="50" t="s">
        <v>2388</v>
      </c>
      <c r="AG28" s="50" t="s">
        <v>2387</v>
      </c>
      <c r="AH28" s="50" t="s">
        <v>3102</v>
      </c>
      <c r="AI28" s="50" t="s">
        <v>3496</v>
      </c>
      <c r="AJ28" s="51" t="s">
        <v>2386</v>
      </c>
      <c r="AK28" s="53" t="s">
        <v>2387</v>
      </c>
      <c r="AL28" s="50" t="s">
        <v>99</v>
      </c>
      <c r="AM28" s="52" t="s">
        <v>99</v>
      </c>
      <c r="AN28" s="55" t="s">
        <v>99</v>
      </c>
      <c r="AO28" s="7" t="s">
        <v>0</v>
      </c>
    </row>
    <row r="29" spans="1:41" ht="12.75" customHeight="1" x14ac:dyDescent="0.2">
      <c r="A29" s="21" t="s">
        <v>2318</v>
      </c>
      <c r="B29" s="21" t="s">
        <v>2901</v>
      </c>
      <c r="C29" s="21">
        <v>2025</v>
      </c>
      <c r="D29" s="45" t="s">
        <v>2317</v>
      </c>
      <c r="E29" s="46" t="s">
        <v>3098</v>
      </c>
      <c r="F29" s="43" t="s">
        <v>3232</v>
      </c>
      <c r="G29" s="44" t="s">
        <v>3320</v>
      </c>
      <c r="H29" s="43" t="s">
        <v>3182</v>
      </c>
      <c r="I29" s="47" t="s">
        <v>3398</v>
      </c>
      <c r="J29" s="30" t="s">
        <v>2697</v>
      </c>
      <c r="K29" s="48" t="s">
        <v>2422</v>
      </c>
      <c r="L29" s="50" t="s">
        <v>2385</v>
      </c>
      <c r="M29" s="50" t="s">
        <v>2385</v>
      </c>
      <c r="N29" s="50" t="s">
        <v>2387</v>
      </c>
      <c r="O29" s="50" t="s">
        <v>2399</v>
      </c>
      <c r="P29" s="50" t="s">
        <v>2959</v>
      </c>
      <c r="Q29" s="56" t="s">
        <v>3027</v>
      </c>
      <c r="R29" s="50" t="s">
        <v>2696</v>
      </c>
      <c r="S29" s="50" t="s">
        <v>2387</v>
      </c>
      <c r="T29" s="52" t="s">
        <v>3249</v>
      </c>
      <c r="U29" s="50" t="s">
        <v>2431</v>
      </c>
      <c r="V29" s="50" t="s">
        <v>2695</v>
      </c>
      <c r="W29" s="50" t="s">
        <v>2431</v>
      </c>
      <c r="X29" s="50" t="s">
        <v>2997</v>
      </c>
      <c r="Y29" s="52" t="s">
        <v>2395</v>
      </c>
      <c r="Z29" s="50" t="s">
        <v>2417</v>
      </c>
      <c r="AA29" s="50" t="s">
        <v>2694</v>
      </c>
      <c r="AB29" s="52" t="s">
        <v>2402</v>
      </c>
      <c r="AC29" s="53" t="s">
        <v>3129</v>
      </c>
      <c r="AD29" s="50" t="s">
        <v>3053</v>
      </c>
      <c r="AE29" s="50" t="s">
        <v>2533</v>
      </c>
      <c r="AF29" s="50" t="s">
        <v>2414</v>
      </c>
      <c r="AG29" s="50" t="s">
        <v>2387</v>
      </c>
      <c r="AH29" s="50" t="s">
        <v>3081</v>
      </c>
      <c r="AI29" s="50" t="s">
        <v>3499</v>
      </c>
      <c r="AJ29" s="56" t="s">
        <v>2386</v>
      </c>
      <c r="AK29" s="52" t="s">
        <v>2387</v>
      </c>
      <c r="AL29" s="50" t="s">
        <v>99</v>
      </c>
      <c r="AM29" s="53" t="s">
        <v>2904</v>
      </c>
      <c r="AN29" s="55" t="s">
        <v>99</v>
      </c>
      <c r="AO29" s="7" t="s">
        <v>0</v>
      </c>
    </row>
    <row r="30" spans="1:41" ht="12.75" customHeight="1" x14ac:dyDescent="0.2">
      <c r="A30" s="21" t="s">
        <v>149</v>
      </c>
      <c r="B30" s="21" t="s">
        <v>148</v>
      </c>
      <c r="C30" s="21">
        <v>2022</v>
      </c>
      <c r="D30" s="45" t="str">
        <f>HYPERLINK("http://dx.doi.org/10.1111/jiec.13331","http://dx.doi.org/10.1111/jiec.13331")</f>
        <v>http://dx.doi.org/10.1111/jiec.13331</v>
      </c>
      <c r="E30" s="46" t="s">
        <v>3097</v>
      </c>
      <c r="F30" s="43" t="s">
        <v>3208</v>
      </c>
      <c r="G30" s="44" t="s">
        <v>3348</v>
      </c>
      <c r="H30" s="43" t="s">
        <v>2445</v>
      </c>
      <c r="I30" s="47" t="s">
        <v>3431</v>
      </c>
      <c r="J30" s="30" t="s">
        <v>2936</v>
      </c>
      <c r="K30" s="48" t="s">
        <v>2923</v>
      </c>
      <c r="L30" s="50" t="s">
        <v>2387</v>
      </c>
      <c r="M30" s="50" t="s">
        <v>2387</v>
      </c>
      <c r="N30" s="50" t="s">
        <v>2387</v>
      </c>
      <c r="O30" s="50" t="s">
        <v>2953</v>
      </c>
      <c r="P30" s="50" t="s">
        <v>2977</v>
      </c>
      <c r="Q30" s="56" t="s">
        <v>2693</v>
      </c>
      <c r="R30" s="50" t="s">
        <v>2390</v>
      </c>
      <c r="S30" s="50" t="s">
        <v>2385</v>
      </c>
      <c r="T30" s="52" t="s">
        <v>2440</v>
      </c>
      <c r="U30" s="50" t="s">
        <v>2692</v>
      </c>
      <c r="V30" s="50" t="s">
        <v>2692</v>
      </c>
      <c r="W30" s="50" t="s">
        <v>2692</v>
      </c>
      <c r="X30" s="50" t="s">
        <v>2691</v>
      </c>
      <c r="Y30" s="52" t="s">
        <v>2395</v>
      </c>
      <c r="Z30" s="50" t="s">
        <v>2441</v>
      </c>
      <c r="AA30" s="50" t="s">
        <v>2262</v>
      </c>
      <c r="AB30" s="52" t="s">
        <v>2402</v>
      </c>
      <c r="AC30" s="53" t="s">
        <v>3120</v>
      </c>
      <c r="AD30" s="50" t="s">
        <v>3053</v>
      </c>
      <c r="AE30" s="50" t="s">
        <v>99</v>
      </c>
      <c r="AF30" s="50" t="s">
        <v>2288</v>
      </c>
      <c r="AG30" s="50" t="s">
        <v>2387</v>
      </c>
      <c r="AH30" s="50" t="s">
        <v>3083</v>
      </c>
      <c r="AI30" s="50" t="s">
        <v>3501</v>
      </c>
      <c r="AJ30" s="51" t="s">
        <v>2690</v>
      </c>
      <c r="AK30" s="52" t="s">
        <v>2385</v>
      </c>
      <c r="AL30" s="50" t="s">
        <v>99</v>
      </c>
      <c r="AM30" s="52" t="s">
        <v>99</v>
      </c>
      <c r="AN30" s="55" t="s">
        <v>99</v>
      </c>
      <c r="AO30" s="7" t="s">
        <v>0</v>
      </c>
    </row>
    <row r="31" spans="1:41" ht="12.75" customHeight="1" x14ac:dyDescent="0.2">
      <c r="A31" s="21" t="s">
        <v>112</v>
      </c>
      <c r="B31" s="21" t="s">
        <v>1231</v>
      </c>
      <c r="C31" s="21">
        <v>2024</v>
      </c>
      <c r="D31" s="45" t="str">
        <f>HYPERLINK("http://dx.doi.org/10.1016/j.enpol.2024.114390","http://dx.doi.org/10.1016/j.enpol.2024.114390")</f>
        <v>http://dx.doi.org/10.1016/j.enpol.2024.114390</v>
      </c>
      <c r="E31" s="46" t="s">
        <v>3097</v>
      </c>
      <c r="F31" s="43" t="s">
        <v>3215</v>
      </c>
      <c r="G31" s="44" t="s">
        <v>3464</v>
      </c>
      <c r="H31" s="43" t="s">
        <v>2445</v>
      </c>
      <c r="I31" s="47" t="s">
        <v>3472</v>
      </c>
      <c r="J31" s="30" t="s">
        <v>2937</v>
      </c>
      <c r="K31" s="48" t="s">
        <v>99</v>
      </c>
      <c r="L31" s="50" t="s">
        <v>2387</v>
      </c>
      <c r="M31" s="50" t="s">
        <v>2689</v>
      </c>
      <c r="N31" s="50" t="s">
        <v>2387</v>
      </c>
      <c r="O31" s="50" t="s">
        <v>2953</v>
      </c>
      <c r="P31" s="54" t="s">
        <v>2978</v>
      </c>
      <c r="Q31" s="56" t="s">
        <v>3010</v>
      </c>
      <c r="R31" s="50" t="s">
        <v>2390</v>
      </c>
      <c r="S31" s="50" t="s">
        <v>2385</v>
      </c>
      <c r="T31" s="52" t="s">
        <v>2440</v>
      </c>
      <c r="U31" s="50" t="s">
        <v>2431</v>
      </c>
      <c r="V31" s="50" t="s">
        <v>2688</v>
      </c>
      <c r="W31" s="50" t="s">
        <v>2431</v>
      </c>
      <c r="X31" s="54" t="s">
        <v>3002</v>
      </c>
      <c r="Y31" s="52" t="s">
        <v>2395</v>
      </c>
      <c r="Z31" s="50" t="s">
        <v>2441</v>
      </c>
      <c r="AA31" s="50" t="s">
        <v>2687</v>
      </c>
      <c r="AB31" s="52" t="s">
        <v>2402</v>
      </c>
      <c r="AC31" s="53" t="s">
        <v>3130</v>
      </c>
      <c r="AD31" s="50" t="s">
        <v>3053</v>
      </c>
      <c r="AE31" s="50" t="s">
        <v>2686</v>
      </c>
      <c r="AF31" s="50" t="s">
        <v>2414</v>
      </c>
      <c r="AG31" s="50" t="s">
        <v>2385</v>
      </c>
      <c r="AH31" s="50" t="s">
        <v>3088</v>
      </c>
      <c r="AI31" s="50" t="s">
        <v>3502</v>
      </c>
      <c r="AJ31" s="51" t="s">
        <v>2386</v>
      </c>
      <c r="AK31" s="52" t="s">
        <v>2385</v>
      </c>
      <c r="AL31" s="50" t="s">
        <v>2404</v>
      </c>
      <c r="AM31" s="47" t="s">
        <v>2910</v>
      </c>
      <c r="AN31" s="55" t="s">
        <v>99</v>
      </c>
      <c r="AO31" s="7" t="s">
        <v>0</v>
      </c>
    </row>
    <row r="32" spans="1:41" ht="12.75" customHeight="1" x14ac:dyDescent="0.2">
      <c r="A32" s="21" t="s">
        <v>120</v>
      </c>
      <c r="B32" s="21" t="s">
        <v>1205</v>
      </c>
      <c r="C32" s="21">
        <v>2020</v>
      </c>
      <c r="D32" s="45" t="str">
        <f>HYPERLINK("http://dx.doi.org/10.3390/su12198225","http://dx.doi.org/10.3390/su12198225")</f>
        <v>http://dx.doi.org/10.3390/su12198225</v>
      </c>
      <c r="E32" s="46" t="s">
        <v>3105</v>
      </c>
      <c r="F32" s="43" t="s">
        <v>3372</v>
      </c>
      <c r="G32" s="44" t="s">
        <v>3470</v>
      </c>
      <c r="H32" s="43" t="s">
        <v>2445</v>
      </c>
      <c r="I32" s="47" t="s">
        <v>3423</v>
      </c>
      <c r="J32" s="30" t="s">
        <v>2684</v>
      </c>
      <c r="K32" s="48" t="s">
        <v>2685</v>
      </c>
      <c r="L32" s="50" t="s">
        <v>2387</v>
      </c>
      <c r="M32" s="50" t="s">
        <v>2385</v>
      </c>
      <c r="N32" s="50" t="s">
        <v>2387</v>
      </c>
      <c r="O32" s="50" t="s">
        <v>2399</v>
      </c>
      <c r="P32" s="50" t="s">
        <v>2512</v>
      </c>
      <c r="Q32" s="59" t="s">
        <v>3037</v>
      </c>
      <c r="R32" s="50" t="s">
        <v>2683</v>
      </c>
      <c r="S32" s="50" t="s">
        <v>2385</v>
      </c>
      <c r="T32" s="52" t="s">
        <v>2461</v>
      </c>
      <c r="U32" s="50" t="s">
        <v>2431</v>
      </c>
      <c r="V32" s="50" t="s">
        <v>2541</v>
      </c>
      <c r="W32" s="50" t="s">
        <v>2431</v>
      </c>
      <c r="X32" s="50" t="s">
        <v>2682</v>
      </c>
      <c r="Y32" s="52" t="s">
        <v>2442</v>
      </c>
      <c r="Z32" s="50" t="s">
        <v>2441</v>
      </c>
      <c r="AA32" s="50" t="s">
        <v>2631</v>
      </c>
      <c r="AB32" s="52" t="s">
        <v>2681</v>
      </c>
      <c r="AC32" s="53" t="s">
        <v>3131</v>
      </c>
      <c r="AD32" s="50" t="s">
        <v>3072</v>
      </c>
      <c r="AE32" s="50" t="s">
        <v>2617</v>
      </c>
      <c r="AF32" s="50" t="s">
        <v>2414</v>
      </c>
      <c r="AG32" s="50" t="s">
        <v>2387</v>
      </c>
      <c r="AH32" s="50" t="s">
        <v>3083</v>
      </c>
      <c r="AI32" s="50" t="s">
        <v>3503</v>
      </c>
      <c r="AJ32" s="51" t="s">
        <v>2386</v>
      </c>
      <c r="AK32" s="52" t="s">
        <v>2387</v>
      </c>
      <c r="AL32" s="50" t="s">
        <v>99</v>
      </c>
      <c r="AM32" s="52" t="s">
        <v>99</v>
      </c>
      <c r="AN32" s="55" t="s">
        <v>99</v>
      </c>
      <c r="AO32" s="7" t="s">
        <v>0</v>
      </c>
    </row>
    <row r="33" spans="1:41" ht="12.75" customHeight="1" x14ac:dyDescent="0.2">
      <c r="A33" s="21" t="s">
        <v>55</v>
      </c>
      <c r="B33" s="21" t="s">
        <v>1202</v>
      </c>
      <c r="C33" s="21">
        <v>2022</v>
      </c>
      <c r="D33" s="45" t="str">
        <f>HYPERLINK("http://dx.doi.org/10.1016/j.jclepro.2022.132014","http://dx.doi.org/10.1016/j.jclepro.2022.132014")</f>
        <v>http://dx.doi.org/10.1016/j.jclepro.2022.132014</v>
      </c>
      <c r="E33" s="46" t="s">
        <v>3097</v>
      </c>
      <c r="F33" s="43" t="s">
        <v>3217</v>
      </c>
      <c r="G33" s="44" t="s">
        <v>3321</v>
      </c>
      <c r="H33" s="43" t="s">
        <v>3182</v>
      </c>
      <c r="I33" s="47" t="s">
        <v>3415</v>
      </c>
      <c r="J33" s="30" t="s">
        <v>2934</v>
      </c>
      <c r="K33" s="48" t="s">
        <v>99</v>
      </c>
      <c r="L33" s="50" t="s">
        <v>2387</v>
      </c>
      <c r="M33" s="50" t="s">
        <v>2385</v>
      </c>
      <c r="N33" s="50" t="s">
        <v>2387</v>
      </c>
      <c r="O33" s="50" t="s">
        <v>2399</v>
      </c>
      <c r="P33" s="50" t="s">
        <v>2961</v>
      </c>
      <c r="Q33" s="59" t="s">
        <v>3014</v>
      </c>
      <c r="R33" s="50" t="s">
        <v>2390</v>
      </c>
      <c r="S33" s="50" t="s">
        <v>2385</v>
      </c>
      <c r="T33" s="52" t="s">
        <v>2461</v>
      </c>
      <c r="U33" s="50" t="s">
        <v>2397</v>
      </c>
      <c r="V33" s="50" t="s">
        <v>2397</v>
      </c>
      <c r="W33" s="50" t="s">
        <v>2397</v>
      </c>
      <c r="X33" s="50" t="s">
        <v>2680</v>
      </c>
      <c r="Y33" s="52" t="s">
        <v>2395</v>
      </c>
      <c r="Z33" s="50" t="s">
        <v>2417</v>
      </c>
      <c r="AA33" s="50" t="s">
        <v>2262</v>
      </c>
      <c r="AB33" s="52" t="s">
        <v>2402</v>
      </c>
      <c r="AC33" s="53" t="s">
        <v>3310</v>
      </c>
      <c r="AD33" s="50" t="s">
        <v>3053</v>
      </c>
      <c r="AE33" s="50" t="s">
        <v>99</v>
      </c>
      <c r="AF33" s="50" t="s">
        <v>2288</v>
      </c>
      <c r="AG33" s="50" t="s">
        <v>2385</v>
      </c>
      <c r="AH33" s="54" t="s">
        <v>3094</v>
      </c>
      <c r="AI33" s="50" t="s">
        <v>3524</v>
      </c>
      <c r="AJ33" s="51" t="s">
        <v>2386</v>
      </c>
      <c r="AK33" s="52" t="s">
        <v>2385</v>
      </c>
      <c r="AL33" s="50" t="s">
        <v>2404</v>
      </c>
      <c r="AM33" s="52" t="s">
        <v>2679</v>
      </c>
      <c r="AN33" s="55" t="s">
        <v>2501</v>
      </c>
      <c r="AO33" s="7" t="s">
        <v>0</v>
      </c>
    </row>
    <row r="34" spans="1:41" ht="12.75" customHeight="1" x14ac:dyDescent="0.2">
      <c r="A34" s="21" t="s">
        <v>50</v>
      </c>
      <c r="B34" s="21" t="s">
        <v>1239</v>
      </c>
      <c r="C34" s="21">
        <v>2020</v>
      </c>
      <c r="D34" s="45" t="str">
        <f>HYPERLINK("http://dx.doi.org/10.1038/s41893-020-0488-7","http://dx.doi.org/10.1038/s41893-020-0488-7")</f>
        <v>http://dx.doi.org/10.1038/s41893-020-0488-7</v>
      </c>
      <c r="E34" s="46" t="s">
        <v>3100</v>
      </c>
      <c r="F34" s="43" t="s">
        <v>3218</v>
      </c>
      <c r="G34" s="44" t="s">
        <v>3346</v>
      </c>
      <c r="H34" s="43" t="s">
        <v>3190</v>
      </c>
      <c r="I34" s="47" t="s">
        <v>3435</v>
      </c>
      <c r="J34" s="30" t="s">
        <v>2677</v>
      </c>
      <c r="K34" s="48" t="s">
        <v>2678</v>
      </c>
      <c r="L34" s="50" t="s">
        <v>2385</v>
      </c>
      <c r="M34" s="50" t="s">
        <v>2385</v>
      </c>
      <c r="N34" s="50" t="s">
        <v>2387</v>
      </c>
      <c r="O34" s="50" t="s">
        <v>2399</v>
      </c>
      <c r="P34" s="50" t="s">
        <v>2959</v>
      </c>
      <c r="Q34" s="51" t="s">
        <v>2676</v>
      </c>
      <c r="R34" s="50" t="s">
        <v>2390</v>
      </c>
      <c r="S34" s="50" t="s">
        <v>2385</v>
      </c>
      <c r="T34" s="52" t="s">
        <v>3250</v>
      </c>
      <c r="U34" s="50" t="s">
        <v>2397</v>
      </c>
      <c r="V34" s="50" t="s">
        <v>3044</v>
      </c>
      <c r="W34" s="50" t="s">
        <v>3045</v>
      </c>
      <c r="X34" s="50" t="s">
        <v>2425</v>
      </c>
      <c r="Y34" s="52" t="s">
        <v>2395</v>
      </c>
      <c r="Z34" s="50" t="s">
        <v>2441</v>
      </c>
      <c r="AA34" s="50" t="s">
        <v>2262</v>
      </c>
      <c r="AB34" s="52" t="s">
        <v>2402</v>
      </c>
      <c r="AC34" s="53" t="s">
        <v>3161</v>
      </c>
      <c r="AD34" s="50" t="s">
        <v>3053</v>
      </c>
      <c r="AE34" s="50" t="s">
        <v>2485</v>
      </c>
      <c r="AF34" s="50" t="s">
        <v>2388</v>
      </c>
      <c r="AG34" s="50" t="s">
        <v>2387</v>
      </c>
      <c r="AH34" s="50" t="s">
        <v>3083</v>
      </c>
      <c r="AI34" s="50" t="s">
        <v>3504</v>
      </c>
      <c r="AJ34" s="51" t="s">
        <v>2386</v>
      </c>
      <c r="AK34" s="52" t="s">
        <v>2385</v>
      </c>
      <c r="AL34" s="50" t="s">
        <v>2404</v>
      </c>
      <c r="AM34" s="47" t="s">
        <v>2911</v>
      </c>
      <c r="AN34" s="55" t="s">
        <v>99</v>
      </c>
      <c r="AO34" s="7" t="s">
        <v>0</v>
      </c>
    </row>
    <row r="35" spans="1:41" ht="12.75" customHeight="1" x14ac:dyDescent="0.2">
      <c r="A35" s="21" t="s">
        <v>1403</v>
      </c>
      <c r="B35" s="21" t="s">
        <v>1797</v>
      </c>
      <c r="C35" s="21">
        <v>2018</v>
      </c>
      <c r="D35" s="45" t="str">
        <f>HYPERLINK("http://dx.doi.org/10.1016/j.gloenvcha.2018.02.008","http://dx.doi.org/10.1016/j.gloenvcha.2018.02.008")</f>
        <v>http://dx.doi.org/10.1016/j.gloenvcha.2018.02.008</v>
      </c>
      <c r="E35" s="46" t="s">
        <v>3098</v>
      </c>
      <c r="F35" s="43" t="s">
        <v>3313</v>
      </c>
      <c r="G35" s="44" t="s">
        <v>3474</v>
      </c>
      <c r="H35" s="43" t="s">
        <v>3182</v>
      </c>
      <c r="I35" s="53" t="s">
        <v>3403</v>
      </c>
      <c r="J35" s="30" t="s">
        <v>2948</v>
      </c>
      <c r="K35" s="48" t="s">
        <v>2924</v>
      </c>
      <c r="L35" s="50" t="s">
        <v>2385</v>
      </c>
      <c r="M35" s="50" t="s">
        <v>2385</v>
      </c>
      <c r="N35" s="50" t="s">
        <v>2387</v>
      </c>
      <c r="O35" s="50" t="s">
        <v>2399</v>
      </c>
      <c r="P35" s="50" t="s">
        <v>2959</v>
      </c>
      <c r="Q35" s="51" t="s">
        <v>3007</v>
      </c>
      <c r="R35" s="50" t="s">
        <v>3005</v>
      </c>
      <c r="S35" s="50" t="s">
        <v>2385</v>
      </c>
      <c r="T35" s="52" t="s">
        <v>2398</v>
      </c>
      <c r="U35" s="50" t="s">
        <v>2397</v>
      </c>
      <c r="V35" s="50" t="s">
        <v>2397</v>
      </c>
      <c r="W35" s="50" t="s">
        <v>2397</v>
      </c>
      <c r="X35" s="50" t="s">
        <v>2488</v>
      </c>
      <c r="Y35" s="52" t="s">
        <v>2442</v>
      </c>
      <c r="Z35" s="50" t="s">
        <v>2417</v>
      </c>
      <c r="AA35" s="50" t="s">
        <v>2262</v>
      </c>
      <c r="AB35" s="52" t="s">
        <v>2402</v>
      </c>
      <c r="AC35" s="53" t="s">
        <v>3150</v>
      </c>
      <c r="AD35" s="50" t="s">
        <v>3069</v>
      </c>
      <c r="AE35" s="50" t="s">
        <v>2476</v>
      </c>
      <c r="AF35" s="50" t="s">
        <v>2388</v>
      </c>
      <c r="AG35" s="50" t="s">
        <v>2387</v>
      </c>
      <c r="AH35" s="50" t="s">
        <v>3082</v>
      </c>
      <c r="AI35" s="50" t="s">
        <v>0</v>
      </c>
      <c r="AJ35" s="51" t="s">
        <v>2386</v>
      </c>
      <c r="AK35" s="52" t="s">
        <v>2387</v>
      </c>
      <c r="AL35" s="50" t="s">
        <v>99</v>
      </c>
      <c r="AM35" s="52" t="s">
        <v>99</v>
      </c>
      <c r="AN35" s="55" t="s">
        <v>99</v>
      </c>
      <c r="AO35" s="7" t="s">
        <v>0</v>
      </c>
    </row>
    <row r="36" spans="1:41" ht="12.75" customHeight="1" x14ac:dyDescent="0.2">
      <c r="A36" s="21" t="s">
        <v>1625</v>
      </c>
      <c r="B36" s="21" t="s">
        <v>1790</v>
      </c>
      <c r="C36" s="21">
        <v>2018</v>
      </c>
      <c r="D36" s="45" t="str">
        <f>HYPERLINK("http://dx.doi.org/10.3390/en11051203","http://dx.doi.org/10.3390/en11051203")</f>
        <v>http://dx.doi.org/10.3390/en11051203</v>
      </c>
      <c r="E36" s="46" t="s">
        <v>3104</v>
      </c>
      <c r="F36" s="43" t="s">
        <v>3238</v>
      </c>
      <c r="G36" s="44" t="s">
        <v>3370</v>
      </c>
      <c r="H36" s="43" t="s">
        <v>3181</v>
      </c>
      <c r="I36" s="53" t="s">
        <v>0</v>
      </c>
      <c r="J36" s="30" t="s">
        <v>99</v>
      </c>
      <c r="K36" s="48" t="s">
        <v>99</v>
      </c>
      <c r="L36" s="50" t="s">
        <v>2387</v>
      </c>
      <c r="M36" s="50" t="s">
        <v>2385</v>
      </c>
      <c r="N36" s="50" t="s">
        <v>2385</v>
      </c>
      <c r="O36" s="50" t="s">
        <v>2399</v>
      </c>
      <c r="P36" s="50" t="s">
        <v>2512</v>
      </c>
      <c r="Q36" s="59" t="s">
        <v>3034</v>
      </c>
      <c r="R36" s="50" t="s">
        <v>2675</v>
      </c>
      <c r="S36" s="50" t="s">
        <v>2385</v>
      </c>
      <c r="T36" s="52" t="s">
        <v>2461</v>
      </c>
      <c r="U36" s="50" t="s">
        <v>2431</v>
      </c>
      <c r="V36" s="50" t="s">
        <v>2612</v>
      </c>
      <c r="W36" s="50" t="s">
        <v>2431</v>
      </c>
      <c r="X36" s="50" t="s">
        <v>2674</v>
      </c>
      <c r="Y36" s="52" t="s">
        <v>2442</v>
      </c>
      <c r="Z36" s="50" t="s">
        <v>2441</v>
      </c>
      <c r="AA36" s="50" t="s">
        <v>2673</v>
      </c>
      <c r="AB36" s="52" t="s">
        <v>2402</v>
      </c>
      <c r="AC36" s="53" t="s">
        <v>3175</v>
      </c>
      <c r="AD36" s="50" t="s">
        <v>3053</v>
      </c>
      <c r="AE36" s="50" t="s">
        <v>2672</v>
      </c>
      <c r="AF36" s="50" t="s">
        <v>2388</v>
      </c>
      <c r="AG36" s="50" t="s">
        <v>2387</v>
      </c>
      <c r="AH36" s="50" t="s">
        <v>3101</v>
      </c>
      <c r="AI36" s="50" t="s">
        <v>3525</v>
      </c>
      <c r="AJ36" s="51" t="s">
        <v>2386</v>
      </c>
      <c r="AK36" s="53" t="s">
        <v>2387</v>
      </c>
      <c r="AL36" s="50" t="s">
        <v>99</v>
      </c>
      <c r="AM36" s="52" t="s">
        <v>99</v>
      </c>
      <c r="AN36" s="55" t="s">
        <v>99</v>
      </c>
      <c r="AO36" s="7" t="s">
        <v>0</v>
      </c>
    </row>
    <row r="37" spans="1:41" ht="12.75" customHeight="1" x14ac:dyDescent="0.2">
      <c r="A37" s="21" t="s">
        <v>70</v>
      </c>
      <c r="B37" s="21" t="s">
        <v>2245</v>
      </c>
      <c r="C37" s="21">
        <v>2024</v>
      </c>
      <c r="D37" s="45" t="str">
        <f>HYPERLINK("http://dx.doi.org/10.1111/jiec.13561","http://dx.doi.org/10.1111/jiec.13561")</f>
        <v>http://dx.doi.org/10.1111/jiec.13561</v>
      </c>
      <c r="E37" s="46" t="s">
        <v>3098</v>
      </c>
      <c r="F37" s="43" t="s">
        <v>3224</v>
      </c>
      <c r="G37" s="44" t="s">
        <v>3379</v>
      </c>
      <c r="H37" s="43" t="s">
        <v>3182</v>
      </c>
      <c r="I37" s="47" t="s">
        <v>3424</v>
      </c>
      <c r="J37" s="30" t="s">
        <v>2671</v>
      </c>
      <c r="K37" s="48" t="s">
        <v>2422</v>
      </c>
      <c r="L37" s="50" t="s">
        <v>2387</v>
      </c>
      <c r="M37" s="50" t="s">
        <v>2387</v>
      </c>
      <c r="N37" s="50" t="s">
        <v>2387</v>
      </c>
      <c r="O37" s="50" t="s">
        <v>2953</v>
      </c>
      <c r="P37" s="50" t="s">
        <v>2979</v>
      </c>
      <c r="Q37" s="51" t="s">
        <v>2670</v>
      </c>
      <c r="R37" s="61" t="s">
        <v>2669</v>
      </c>
      <c r="S37" s="61" t="s">
        <v>2387</v>
      </c>
      <c r="T37" s="52" t="s">
        <v>2398</v>
      </c>
      <c r="U37" s="50" t="s">
        <v>2397</v>
      </c>
      <c r="V37" s="50" t="s">
        <v>2397</v>
      </c>
      <c r="W37" s="50" t="s">
        <v>2668</v>
      </c>
      <c r="X37" s="50" t="s">
        <v>2667</v>
      </c>
      <c r="Y37" s="52" t="s">
        <v>2666</v>
      </c>
      <c r="Z37" s="50" t="s">
        <v>2417</v>
      </c>
      <c r="AA37" s="50" t="s">
        <v>2665</v>
      </c>
      <c r="AB37" s="52" t="s">
        <v>2402</v>
      </c>
      <c r="AC37" s="53" t="s">
        <v>3132</v>
      </c>
      <c r="AD37" s="54" t="s">
        <v>3065</v>
      </c>
      <c r="AE37" s="50" t="s">
        <v>2428</v>
      </c>
      <c r="AF37" s="50" t="s">
        <v>2414</v>
      </c>
      <c r="AG37" s="50" t="s">
        <v>2387</v>
      </c>
      <c r="AH37" s="50" t="s">
        <v>3081</v>
      </c>
      <c r="AI37" s="50" t="s">
        <v>3499</v>
      </c>
      <c r="AJ37" s="56" t="s">
        <v>2386</v>
      </c>
      <c r="AK37" s="52" t="s">
        <v>2385</v>
      </c>
      <c r="AL37" s="50" t="s">
        <v>99</v>
      </c>
      <c r="AM37" s="52" t="s">
        <v>99</v>
      </c>
      <c r="AN37" s="55" t="s">
        <v>99</v>
      </c>
      <c r="AO37" s="7" t="s">
        <v>0</v>
      </c>
    </row>
    <row r="38" spans="1:41" ht="12.75" customHeight="1" x14ac:dyDescent="0.2">
      <c r="A38" s="21" t="s">
        <v>2276</v>
      </c>
      <c r="B38" s="21" t="s">
        <v>2275</v>
      </c>
      <c r="C38" s="21">
        <v>2023</v>
      </c>
      <c r="D38" s="45" t="str">
        <f>HYPERLINK("http://dx.doi.org/10.1093/pnasnexus/pgad361","http://dx.doi.org/10.1093/pnasnexus/pgad361")</f>
        <v>http://dx.doi.org/10.1093/pnasnexus/pgad361</v>
      </c>
      <c r="E38" s="46" t="s">
        <v>3104</v>
      </c>
      <c r="F38" s="43" t="s">
        <v>3226</v>
      </c>
      <c r="G38" s="44" t="s">
        <v>3384</v>
      </c>
      <c r="H38" s="43" t="s">
        <v>3182</v>
      </c>
      <c r="I38" s="47" t="s">
        <v>0</v>
      </c>
      <c r="J38" s="30" t="s">
        <v>2663</v>
      </c>
      <c r="K38" s="48" t="s">
        <v>2664</v>
      </c>
      <c r="L38" s="50" t="s">
        <v>2387</v>
      </c>
      <c r="M38" s="50" t="s">
        <v>2385</v>
      </c>
      <c r="N38" s="50" t="s">
        <v>2387</v>
      </c>
      <c r="O38" s="50" t="s">
        <v>2399</v>
      </c>
      <c r="P38" s="50" t="s">
        <v>2512</v>
      </c>
      <c r="Q38" s="59" t="s">
        <v>3040</v>
      </c>
      <c r="R38" s="50" t="s">
        <v>2662</v>
      </c>
      <c r="S38" s="50" t="s">
        <v>2385</v>
      </c>
      <c r="T38" s="52" t="s">
        <v>2440</v>
      </c>
      <c r="U38" s="50" t="s">
        <v>2397</v>
      </c>
      <c r="V38" s="50" t="s">
        <v>2397</v>
      </c>
      <c r="W38" s="50" t="s">
        <v>2661</v>
      </c>
      <c r="X38" s="50" t="s">
        <v>2396</v>
      </c>
      <c r="Y38" s="52" t="s">
        <v>2395</v>
      </c>
      <c r="Z38" s="50" t="s">
        <v>2417</v>
      </c>
      <c r="AA38" s="50" t="s">
        <v>2660</v>
      </c>
      <c r="AB38" s="52" t="s">
        <v>2659</v>
      </c>
      <c r="AC38" s="53" t="s">
        <v>3151</v>
      </c>
      <c r="AD38" s="50" t="s">
        <v>3064</v>
      </c>
      <c r="AE38" s="50" t="s">
        <v>2658</v>
      </c>
      <c r="AF38" s="50" t="s">
        <v>2388</v>
      </c>
      <c r="AG38" s="50" t="s">
        <v>2387</v>
      </c>
      <c r="AH38" s="50" t="s">
        <v>3084</v>
      </c>
      <c r="AI38" s="50" t="s">
        <v>0</v>
      </c>
      <c r="AJ38" s="51" t="s">
        <v>2386</v>
      </c>
      <c r="AK38" s="52" t="s">
        <v>2385</v>
      </c>
      <c r="AL38" s="50" t="s">
        <v>99</v>
      </c>
      <c r="AM38" s="52" t="s">
        <v>99</v>
      </c>
      <c r="AN38" s="55" t="s">
        <v>99</v>
      </c>
      <c r="AO38" s="7" t="s">
        <v>0</v>
      </c>
    </row>
    <row r="39" spans="1:41" ht="12.75" customHeight="1" x14ac:dyDescent="0.2">
      <c r="A39" s="21" t="s">
        <v>1424</v>
      </c>
      <c r="B39" s="21" t="s">
        <v>1753</v>
      </c>
      <c r="C39" s="21">
        <v>2018</v>
      </c>
      <c r="D39" s="45" t="str">
        <f>HYPERLINK("http://dx.doi.org/10.1016/j.energy.2018.08.093","http://dx.doi.org/10.1016/j.energy.2018.08.093")</f>
        <v>http://dx.doi.org/10.1016/j.energy.2018.08.093</v>
      </c>
      <c r="E39" s="46" t="s">
        <v>3105</v>
      </c>
      <c r="F39" s="43" t="s">
        <v>3373</v>
      </c>
      <c r="G39" s="44" t="s">
        <v>3369</v>
      </c>
      <c r="H39" s="43" t="s">
        <v>3184</v>
      </c>
      <c r="I39" s="47" t="s">
        <v>3436</v>
      </c>
      <c r="J39" s="30" t="s">
        <v>2490</v>
      </c>
      <c r="K39" s="48" t="s">
        <v>2657</v>
      </c>
      <c r="L39" s="50" t="s">
        <v>2385</v>
      </c>
      <c r="M39" s="50" t="s">
        <v>2385</v>
      </c>
      <c r="N39" s="50" t="s">
        <v>2387</v>
      </c>
      <c r="O39" s="50" t="s">
        <v>2433</v>
      </c>
      <c r="P39" s="50" t="s">
        <v>2973</v>
      </c>
      <c r="Q39" s="51" t="s">
        <v>2656</v>
      </c>
      <c r="R39" s="50" t="s">
        <v>2390</v>
      </c>
      <c r="S39" s="50" t="s">
        <v>2385</v>
      </c>
      <c r="T39" s="52" t="s">
        <v>2461</v>
      </c>
      <c r="U39" s="50" t="s">
        <v>2460</v>
      </c>
      <c r="V39" s="50" t="s">
        <v>2655</v>
      </c>
      <c r="W39" s="50" t="s">
        <v>2654</v>
      </c>
      <c r="X39" s="50" t="s">
        <v>3259</v>
      </c>
      <c r="Y39" s="52" t="s">
        <v>2395</v>
      </c>
      <c r="Z39" s="50" t="s">
        <v>2448</v>
      </c>
      <c r="AA39" s="50" t="s">
        <v>3188</v>
      </c>
      <c r="AB39" s="52" t="s">
        <v>2402</v>
      </c>
      <c r="AC39" s="47" t="s">
        <v>3133</v>
      </c>
      <c r="AD39" s="50" t="s">
        <v>3053</v>
      </c>
      <c r="AE39" s="50" t="s">
        <v>2653</v>
      </c>
      <c r="AF39" s="50" t="s">
        <v>2388</v>
      </c>
      <c r="AG39" s="50" t="s">
        <v>2385</v>
      </c>
      <c r="AH39" s="50" t="s">
        <v>3090</v>
      </c>
      <c r="AI39" s="50" t="s">
        <v>3505</v>
      </c>
      <c r="AJ39" s="51" t="s">
        <v>2386</v>
      </c>
      <c r="AK39" s="52" t="s">
        <v>2385</v>
      </c>
      <c r="AL39" s="50" t="s">
        <v>2404</v>
      </c>
      <c r="AM39" s="52" t="s">
        <v>2912</v>
      </c>
      <c r="AN39" s="55" t="s">
        <v>99</v>
      </c>
      <c r="AO39" s="7" t="s">
        <v>0</v>
      </c>
    </row>
    <row r="40" spans="1:41" ht="12.75" customHeight="1" x14ac:dyDescent="0.2">
      <c r="A40" s="21" t="s">
        <v>33</v>
      </c>
      <c r="B40" s="21" t="s">
        <v>1240</v>
      </c>
      <c r="C40" s="21">
        <v>2019</v>
      </c>
      <c r="D40" s="45" t="str">
        <f>HYPERLINK("http://dx.doi.org/10.1038/s41467-019-13067-8","http://dx.doi.org/10.1038/s41467-019-13067-8")</f>
        <v>http://dx.doi.org/10.1038/s41467-019-13067-8</v>
      </c>
      <c r="E40" s="46" t="s">
        <v>3100</v>
      </c>
      <c r="F40" s="43" t="s">
        <v>3223</v>
      </c>
      <c r="G40" s="44" t="s">
        <v>3355</v>
      </c>
      <c r="H40" s="43" t="s">
        <v>2445</v>
      </c>
      <c r="I40" s="47" t="s">
        <v>3454</v>
      </c>
      <c r="J40" s="30" t="s">
        <v>2651</v>
      </c>
      <c r="K40" s="48" t="s">
        <v>2652</v>
      </c>
      <c r="L40" s="50" t="s">
        <v>2387</v>
      </c>
      <c r="M40" s="50" t="s">
        <v>2387</v>
      </c>
      <c r="N40" s="50" t="s">
        <v>2387</v>
      </c>
      <c r="O40" s="50" t="s">
        <v>2955</v>
      </c>
      <c r="P40" s="50" t="s">
        <v>2970</v>
      </c>
      <c r="Q40" s="51" t="s">
        <v>2650</v>
      </c>
      <c r="R40" s="50" t="s">
        <v>2390</v>
      </c>
      <c r="S40" s="50" t="s">
        <v>2385</v>
      </c>
      <c r="T40" s="52" t="s">
        <v>2461</v>
      </c>
      <c r="U40" s="50" t="s">
        <v>2397</v>
      </c>
      <c r="V40" s="50" t="s">
        <v>2397</v>
      </c>
      <c r="W40" s="50" t="s">
        <v>2397</v>
      </c>
      <c r="X40" s="50" t="s">
        <v>2986</v>
      </c>
      <c r="Y40" s="52" t="s">
        <v>2649</v>
      </c>
      <c r="Z40" s="50" t="s">
        <v>2441</v>
      </c>
      <c r="AA40" s="50" t="s">
        <v>2262</v>
      </c>
      <c r="AB40" s="52" t="s">
        <v>2402</v>
      </c>
      <c r="AC40" s="53" t="s">
        <v>2648</v>
      </c>
      <c r="AD40" s="50" t="s">
        <v>3056</v>
      </c>
      <c r="AE40" s="50" t="s">
        <v>2647</v>
      </c>
      <c r="AF40" s="50" t="s">
        <v>2388</v>
      </c>
      <c r="AG40" s="50" t="s">
        <v>2387</v>
      </c>
      <c r="AH40" s="50" t="s">
        <v>3087</v>
      </c>
      <c r="AI40" s="50" t="s">
        <v>3506</v>
      </c>
      <c r="AJ40" s="51" t="s">
        <v>2413</v>
      </c>
      <c r="AK40" s="58" t="s">
        <v>2646</v>
      </c>
      <c r="AL40" s="54" t="s">
        <v>2404</v>
      </c>
      <c r="AM40" s="47" t="s">
        <v>2922</v>
      </c>
      <c r="AN40" s="55" t="s">
        <v>99</v>
      </c>
      <c r="AO40" s="7" t="s">
        <v>0</v>
      </c>
    </row>
    <row r="41" spans="1:41" ht="12.75" customHeight="1" x14ac:dyDescent="0.2">
      <c r="A41" s="21" t="s">
        <v>378</v>
      </c>
      <c r="B41" s="21" t="s">
        <v>377</v>
      </c>
      <c r="C41" s="21">
        <v>2024</v>
      </c>
      <c r="D41" s="45" t="str">
        <f>HYPERLINK("http://dx.doi.org/10.1111/jiec.13523","http://dx.doi.org/10.1111/jiec.13523")</f>
        <v>http://dx.doi.org/10.1111/jiec.13523</v>
      </c>
      <c r="E41" s="46" t="s">
        <v>3097</v>
      </c>
      <c r="F41" s="43" t="s">
        <v>3206</v>
      </c>
      <c r="G41" s="44" t="s">
        <v>3341</v>
      </c>
      <c r="H41" s="43" t="s">
        <v>3187</v>
      </c>
      <c r="I41" s="47" t="s">
        <v>3395</v>
      </c>
      <c r="J41" s="30" t="s">
        <v>2645</v>
      </c>
      <c r="K41" s="48" t="s">
        <v>2422</v>
      </c>
      <c r="L41" s="50" t="s">
        <v>2387</v>
      </c>
      <c r="M41" s="50" t="s">
        <v>2385</v>
      </c>
      <c r="N41" s="50" t="s">
        <v>2387</v>
      </c>
      <c r="O41" s="50" t="s">
        <v>2399</v>
      </c>
      <c r="P41" s="50" t="s">
        <v>2512</v>
      </c>
      <c r="Q41" s="51" t="s">
        <v>2644</v>
      </c>
      <c r="R41" s="50" t="s">
        <v>2390</v>
      </c>
      <c r="S41" s="50" t="s">
        <v>2385</v>
      </c>
      <c r="T41" s="52" t="s">
        <v>3249</v>
      </c>
      <c r="U41" s="50" t="s">
        <v>2431</v>
      </c>
      <c r="V41" s="50" t="s">
        <v>2444</v>
      </c>
      <c r="W41" s="50" t="s">
        <v>2431</v>
      </c>
      <c r="X41" s="50" t="s">
        <v>2418</v>
      </c>
      <c r="Y41" s="52" t="s">
        <v>2395</v>
      </c>
      <c r="Z41" s="50" t="s">
        <v>2448</v>
      </c>
      <c r="AA41" s="50" t="s">
        <v>2643</v>
      </c>
      <c r="AB41" s="52" t="s">
        <v>2402</v>
      </c>
      <c r="AC41" s="53" t="s">
        <v>3162</v>
      </c>
      <c r="AD41" s="50" t="s">
        <v>3053</v>
      </c>
      <c r="AE41" s="50" t="s">
        <v>2533</v>
      </c>
      <c r="AF41" s="50" t="s">
        <v>2414</v>
      </c>
      <c r="AG41" s="50" t="s">
        <v>2387</v>
      </c>
      <c r="AH41" s="50" t="s">
        <v>3081</v>
      </c>
      <c r="AI41" s="50" t="s">
        <v>3507</v>
      </c>
      <c r="AJ41" s="51" t="s">
        <v>2386</v>
      </c>
      <c r="AK41" s="52" t="s">
        <v>2385</v>
      </c>
      <c r="AL41" s="50" t="s">
        <v>99</v>
      </c>
      <c r="AM41" s="52" t="s">
        <v>99</v>
      </c>
      <c r="AN41" s="55" t="s">
        <v>99</v>
      </c>
      <c r="AO41" s="7" t="s">
        <v>0</v>
      </c>
    </row>
    <row r="42" spans="1:41" ht="12.75" customHeight="1" x14ac:dyDescent="0.2">
      <c r="A42" s="21" t="s">
        <v>2266</v>
      </c>
      <c r="B42" s="21" t="s">
        <v>2269</v>
      </c>
      <c r="C42" s="21">
        <v>2019</v>
      </c>
      <c r="D42" s="45" t="str">
        <f>HYPERLINK("http://dx.doi.org/10.1021/acs.est.8b04249","http://dx.doi.org/10.1021/acs.est.8b04249")</f>
        <v>http://dx.doi.org/10.1021/acs.est.8b04249</v>
      </c>
      <c r="E42" s="46" t="s">
        <v>3097</v>
      </c>
      <c r="F42" s="43" t="s">
        <v>3209</v>
      </c>
      <c r="G42" s="44" t="s">
        <v>3349</v>
      </c>
      <c r="H42" s="43" t="s">
        <v>2445</v>
      </c>
      <c r="I42" s="47" t="s">
        <v>3425</v>
      </c>
      <c r="J42" s="30" t="s">
        <v>2641</v>
      </c>
      <c r="K42" s="48" t="s">
        <v>2642</v>
      </c>
      <c r="L42" s="50" t="s">
        <v>2385</v>
      </c>
      <c r="M42" s="50" t="s">
        <v>2387</v>
      </c>
      <c r="N42" s="50" t="s">
        <v>2387</v>
      </c>
      <c r="O42" s="50" t="s">
        <v>2953</v>
      </c>
      <c r="P42" s="50" t="s">
        <v>2981</v>
      </c>
      <c r="Q42" s="59" t="s">
        <v>3019</v>
      </c>
      <c r="R42" s="50" t="s">
        <v>2390</v>
      </c>
      <c r="S42" s="50" t="s">
        <v>2385</v>
      </c>
      <c r="T42" s="52" t="s">
        <v>2440</v>
      </c>
      <c r="U42" s="50" t="s">
        <v>2431</v>
      </c>
      <c r="V42" s="50" t="s">
        <v>2497</v>
      </c>
      <c r="W42" s="50" t="s">
        <v>2431</v>
      </c>
      <c r="X42" s="50" t="s">
        <v>2996</v>
      </c>
      <c r="Y42" s="52" t="s">
        <v>2395</v>
      </c>
      <c r="Z42" s="50" t="s">
        <v>2441</v>
      </c>
      <c r="AA42" s="50" t="s">
        <v>2640</v>
      </c>
      <c r="AB42" s="52" t="s">
        <v>2639</v>
      </c>
      <c r="AC42" s="53" t="s">
        <v>2638</v>
      </c>
      <c r="AD42" s="50" t="s">
        <v>3053</v>
      </c>
      <c r="AE42" s="50" t="s">
        <v>2637</v>
      </c>
      <c r="AF42" s="50" t="s">
        <v>2414</v>
      </c>
      <c r="AG42" s="50" t="s">
        <v>2385</v>
      </c>
      <c r="AH42" s="50" t="s">
        <v>3089</v>
      </c>
      <c r="AI42" s="50" t="s">
        <v>3502</v>
      </c>
      <c r="AJ42" s="51" t="s">
        <v>2386</v>
      </c>
      <c r="AK42" s="52" t="s">
        <v>2385</v>
      </c>
      <c r="AL42" s="50" t="s">
        <v>2404</v>
      </c>
      <c r="AM42" s="60" t="s">
        <v>2636</v>
      </c>
      <c r="AN42" s="55" t="s">
        <v>99</v>
      </c>
      <c r="AO42" s="7" t="s">
        <v>0</v>
      </c>
    </row>
    <row r="43" spans="1:41" ht="12.75" customHeight="1" x14ac:dyDescent="0.2">
      <c r="A43" s="21" t="s">
        <v>2273</v>
      </c>
      <c r="B43" s="21" t="s">
        <v>2272</v>
      </c>
      <c r="C43" s="21">
        <v>2022</v>
      </c>
      <c r="D43" s="45" t="str">
        <f>HYPERLINK("http://dx.doi.org/10.1088/2634-4505/ac8071","http://dx.doi.org/10.1088/2634-4505/ac8071")</f>
        <v>http://dx.doi.org/10.1088/2634-4505/ac8071</v>
      </c>
      <c r="E43" s="46" t="s">
        <v>3097</v>
      </c>
      <c r="F43" s="43" t="s">
        <v>3209</v>
      </c>
      <c r="G43" s="44" t="s">
        <v>3338</v>
      </c>
      <c r="H43" s="43" t="s">
        <v>2445</v>
      </c>
      <c r="I43" s="47" t="s">
        <v>3426</v>
      </c>
      <c r="J43" s="30" t="s">
        <v>2499</v>
      </c>
      <c r="K43" s="48" t="s">
        <v>99</v>
      </c>
      <c r="L43" s="50" t="s">
        <v>2387</v>
      </c>
      <c r="M43" s="50" t="s">
        <v>2385</v>
      </c>
      <c r="N43" s="50" t="s">
        <v>2385</v>
      </c>
      <c r="O43" s="50" t="s">
        <v>2399</v>
      </c>
      <c r="P43" s="50" t="s">
        <v>2512</v>
      </c>
      <c r="Q43" s="51" t="s">
        <v>2635</v>
      </c>
      <c r="R43" s="50" t="s">
        <v>2634</v>
      </c>
      <c r="S43" s="50" t="s">
        <v>2385</v>
      </c>
      <c r="T43" s="52" t="s">
        <v>2440</v>
      </c>
      <c r="U43" s="50" t="s">
        <v>2431</v>
      </c>
      <c r="V43" s="50" t="s">
        <v>2497</v>
      </c>
      <c r="W43" s="50" t="s">
        <v>2431</v>
      </c>
      <c r="X43" s="50" t="s">
        <v>2396</v>
      </c>
      <c r="Y43" s="52" t="s">
        <v>2395</v>
      </c>
      <c r="Z43" s="50" t="s">
        <v>2441</v>
      </c>
      <c r="AA43" s="50" t="s">
        <v>2633</v>
      </c>
      <c r="AB43" s="52" t="s">
        <v>2984</v>
      </c>
      <c r="AC43" s="53" t="s">
        <v>2632</v>
      </c>
      <c r="AD43" s="50" t="s">
        <v>3053</v>
      </c>
      <c r="AE43" s="50" t="s">
        <v>2495</v>
      </c>
      <c r="AF43" s="50" t="s">
        <v>2414</v>
      </c>
      <c r="AG43" s="50" t="s">
        <v>2385</v>
      </c>
      <c r="AH43" s="50" t="s">
        <v>3089</v>
      </c>
      <c r="AI43" s="50" t="s">
        <v>3502</v>
      </c>
      <c r="AJ43" s="56" t="s">
        <v>2413</v>
      </c>
      <c r="AK43" s="52" t="s">
        <v>2385</v>
      </c>
      <c r="AL43" s="50" t="s">
        <v>99</v>
      </c>
      <c r="AM43" s="52" t="s">
        <v>99</v>
      </c>
      <c r="AN43" s="55" t="s">
        <v>99</v>
      </c>
      <c r="AO43" s="7" t="s">
        <v>0</v>
      </c>
    </row>
    <row r="44" spans="1:41" ht="12.75" customHeight="1" x14ac:dyDescent="0.2">
      <c r="A44" s="21" t="s">
        <v>101</v>
      </c>
      <c r="B44" s="21" t="s">
        <v>1224</v>
      </c>
      <c r="C44" s="21">
        <v>2014</v>
      </c>
      <c r="D44" s="45" t="str">
        <f>HYPERLINK("http://dx.doi.org/10.1021/es502930w","http://dx.doi.org/10.1021/es502930w")</f>
        <v>http://dx.doi.org/10.1021/es502930w</v>
      </c>
      <c r="E44" s="46" t="s">
        <v>3097</v>
      </c>
      <c r="F44" s="43" t="s">
        <v>3194</v>
      </c>
      <c r="G44" s="44" t="s">
        <v>3329</v>
      </c>
      <c r="H44" s="43" t="s">
        <v>2445</v>
      </c>
      <c r="I44" s="47" t="s">
        <v>3389</v>
      </c>
      <c r="J44" s="30" t="s">
        <v>2939</v>
      </c>
      <c r="K44" s="48" t="s">
        <v>2925</v>
      </c>
      <c r="L44" s="50" t="s">
        <v>2387</v>
      </c>
      <c r="M44" s="50" t="s">
        <v>2387</v>
      </c>
      <c r="N44" s="50" t="s">
        <v>2387</v>
      </c>
      <c r="O44" s="50" t="s">
        <v>2399</v>
      </c>
      <c r="P44" s="50" t="s">
        <v>2959</v>
      </c>
      <c r="Q44" s="56" t="s">
        <v>3029</v>
      </c>
      <c r="R44" s="50" t="s">
        <v>2390</v>
      </c>
      <c r="S44" s="50" t="s">
        <v>2385</v>
      </c>
      <c r="T44" s="52" t="s">
        <v>2440</v>
      </c>
      <c r="U44" s="50" t="s">
        <v>2397</v>
      </c>
      <c r="V44" s="50" t="s">
        <v>2397</v>
      </c>
      <c r="W44" s="50" t="s">
        <v>2397</v>
      </c>
      <c r="X44" s="50" t="s">
        <v>2488</v>
      </c>
      <c r="Y44" s="52" t="s">
        <v>2395</v>
      </c>
      <c r="Z44" s="50" t="s">
        <v>2441</v>
      </c>
      <c r="AA44" s="50" t="s">
        <v>2631</v>
      </c>
      <c r="AB44" s="52" t="s">
        <v>2402</v>
      </c>
      <c r="AC44" s="53" t="s">
        <v>3134</v>
      </c>
      <c r="AD44" s="50" t="s">
        <v>3053</v>
      </c>
      <c r="AE44" s="50" t="s">
        <v>99</v>
      </c>
      <c r="AF44" s="50" t="s">
        <v>2288</v>
      </c>
      <c r="AG44" s="50" t="s">
        <v>2385</v>
      </c>
      <c r="AH44" s="50" t="s">
        <v>3093</v>
      </c>
      <c r="AI44" s="50" t="s">
        <v>0</v>
      </c>
      <c r="AJ44" s="51" t="s">
        <v>2386</v>
      </c>
      <c r="AK44" s="52" t="s">
        <v>2385</v>
      </c>
      <c r="AL44" s="50" t="s">
        <v>2903</v>
      </c>
      <c r="AM44" s="52" t="s">
        <v>2903</v>
      </c>
      <c r="AN44" s="55" t="s">
        <v>99</v>
      </c>
      <c r="AO44" s="7" t="s">
        <v>0</v>
      </c>
    </row>
    <row r="45" spans="1:41" ht="12.75" customHeight="1" x14ac:dyDescent="0.2">
      <c r="A45" s="21" t="s">
        <v>5</v>
      </c>
      <c r="B45" s="21" t="s">
        <v>401</v>
      </c>
      <c r="C45" s="21">
        <v>2024</v>
      </c>
      <c r="D45" s="45" t="str">
        <f>HYPERLINK("http://dx.doi.org/10.1016/j.jclepro.2024.141884","http://dx.doi.org/10.1016/j.jclepro.2024.141884")</f>
        <v>http://dx.doi.org/10.1016/j.jclepro.2024.141884</v>
      </c>
      <c r="E45" s="46" t="s">
        <v>3100</v>
      </c>
      <c r="F45" s="43" t="s">
        <v>3221</v>
      </c>
      <c r="G45" s="44" t="s">
        <v>3354</v>
      </c>
      <c r="H45" s="43" t="s">
        <v>3182</v>
      </c>
      <c r="I45" s="47" t="s">
        <v>0</v>
      </c>
      <c r="J45" s="30" t="s">
        <v>2630</v>
      </c>
      <c r="K45" s="48" t="s">
        <v>2422</v>
      </c>
      <c r="L45" s="50" t="s">
        <v>2387</v>
      </c>
      <c r="M45" s="50" t="s">
        <v>2387</v>
      </c>
      <c r="N45" s="50" t="s">
        <v>2387</v>
      </c>
      <c r="O45" s="50" t="s">
        <v>2955</v>
      </c>
      <c r="P45" s="50" t="s">
        <v>2969</v>
      </c>
      <c r="Q45" s="51" t="s">
        <v>2390</v>
      </c>
      <c r="R45" s="50" t="s">
        <v>2629</v>
      </c>
      <c r="S45" s="50" t="s">
        <v>2385</v>
      </c>
      <c r="T45" s="52" t="s">
        <v>2398</v>
      </c>
      <c r="U45" s="50" t="s">
        <v>2397</v>
      </c>
      <c r="V45" s="50" t="s">
        <v>2397</v>
      </c>
      <c r="W45" s="50" t="s">
        <v>2625</v>
      </c>
      <c r="X45" s="50" t="s">
        <v>2418</v>
      </c>
      <c r="Y45" s="52" t="s">
        <v>2628</v>
      </c>
      <c r="Z45" s="50" t="s">
        <v>2417</v>
      </c>
      <c r="AA45" s="50" t="s">
        <v>2262</v>
      </c>
      <c r="AB45" s="52" t="s">
        <v>2402</v>
      </c>
      <c r="AC45" s="52" t="s">
        <v>3135</v>
      </c>
      <c r="AD45" s="50" t="s">
        <v>3053</v>
      </c>
      <c r="AE45" s="50" t="s">
        <v>2533</v>
      </c>
      <c r="AF45" s="50" t="s">
        <v>2414</v>
      </c>
      <c r="AG45" s="50" t="s">
        <v>2387</v>
      </c>
      <c r="AH45" s="50" t="s">
        <v>3081</v>
      </c>
      <c r="AI45" s="50" t="s">
        <v>3508</v>
      </c>
      <c r="AJ45" s="51" t="s">
        <v>2386</v>
      </c>
      <c r="AK45" s="52" t="s">
        <v>2387</v>
      </c>
      <c r="AL45" s="50" t="s">
        <v>99</v>
      </c>
      <c r="AM45" s="52" t="s">
        <v>99</v>
      </c>
      <c r="AN45" s="55" t="s">
        <v>99</v>
      </c>
      <c r="AO45" s="7" t="s">
        <v>0</v>
      </c>
    </row>
    <row r="46" spans="1:41" ht="12.75" customHeight="1" x14ac:dyDescent="0.2">
      <c r="A46" s="21" t="s">
        <v>662</v>
      </c>
      <c r="B46" s="21" t="s">
        <v>661</v>
      </c>
      <c r="C46" s="21">
        <v>2024</v>
      </c>
      <c r="D46" s="45" t="str">
        <f>HYPERLINK("http://dx.doi.org/10.1039/d4gc00392f","http://dx.doi.org/10.1039/d4gc00392f")</f>
        <v>http://dx.doi.org/10.1039/d4gc00392f</v>
      </c>
      <c r="E46" s="46" t="s">
        <v>3104</v>
      </c>
      <c r="F46" s="43" t="s">
        <v>3243</v>
      </c>
      <c r="G46" s="44" t="s">
        <v>3359</v>
      </c>
      <c r="H46" s="43" t="s">
        <v>3182</v>
      </c>
      <c r="I46" s="47" t="s">
        <v>3396</v>
      </c>
      <c r="J46" s="30" t="s">
        <v>2940</v>
      </c>
      <c r="K46" s="48" t="s">
        <v>2422</v>
      </c>
      <c r="L46" s="50" t="s">
        <v>2387</v>
      </c>
      <c r="M46" s="50" t="s">
        <v>2385</v>
      </c>
      <c r="N46" s="50" t="s">
        <v>2385</v>
      </c>
      <c r="O46" s="50" t="s">
        <v>2399</v>
      </c>
      <c r="P46" s="50" t="s">
        <v>2960</v>
      </c>
      <c r="Q46" s="51" t="s">
        <v>2627</v>
      </c>
      <c r="R46" s="50" t="s">
        <v>2626</v>
      </c>
      <c r="S46" s="50" t="s">
        <v>2385</v>
      </c>
      <c r="T46" s="52" t="s">
        <v>2398</v>
      </c>
      <c r="U46" s="50" t="s">
        <v>2397</v>
      </c>
      <c r="V46" s="50" t="s">
        <v>2397</v>
      </c>
      <c r="W46" s="50" t="s">
        <v>2625</v>
      </c>
      <c r="X46" s="50" t="s">
        <v>2396</v>
      </c>
      <c r="Y46" s="52" t="s">
        <v>2624</v>
      </c>
      <c r="Z46" s="50" t="s">
        <v>2417</v>
      </c>
      <c r="AA46" s="50" t="s">
        <v>2262</v>
      </c>
      <c r="AB46" s="52" t="s">
        <v>2402</v>
      </c>
      <c r="AC46" s="53" t="s">
        <v>3136</v>
      </c>
      <c r="AD46" s="50" t="s">
        <v>3073</v>
      </c>
      <c r="AE46" s="50" t="s">
        <v>2428</v>
      </c>
      <c r="AF46" s="50" t="s">
        <v>2414</v>
      </c>
      <c r="AG46" s="50" t="s">
        <v>2387</v>
      </c>
      <c r="AH46" s="50" t="s">
        <v>3081</v>
      </c>
      <c r="AI46" s="50" t="s">
        <v>3493</v>
      </c>
      <c r="AJ46" s="51" t="s">
        <v>2386</v>
      </c>
      <c r="AK46" s="53" t="s">
        <v>2387</v>
      </c>
      <c r="AL46" s="50" t="s">
        <v>99</v>
      </c>
      <c r="AM46" s="52" t="s">
        <v>99</v>
      </c>
      <c r="AN46" s="55" t="s">
        <v>99</v>
      </c>
      <c r="AO46" s="7" t="s">
        <v>0</v>
      </c>
    </row>
    <row r="47" spans="1:41" ht="12.75" customHeight="1" x14ac:dyDescent="0.2">
      <c r="A47" s="21" t="s">
        <v>2313</v>
      </c>
      <c r="B47" s="21" t="s">
        <v>2312</v>
      </c>
      <c r="C47" s="21">
        <v>2022</v>
      </c>
      <c r="D47" s="45" t="str">
        <f>HYPERLINK("http://dx.doi.org/10.1016/j.egyr.2022.03.143","http://dx.doi.org/10.1016/j.egyr.2022.03.143")</f>
        <v>http://dx.doi.org/10.1016/j.egyr.2022.03.143</v>
      </c>
      <c r="E47" s="46" t="s">
        <v>3105</v>
      </c>
      <c r="F47" s="43" t="s">
        <v>3374</v>
      </c>
      <c r="G47" s="44" t="s">
        <v>3471</v>
      </c>
      <c r="H47" s="43" t="s">
        <v>2445</v>
      </c>
      <c r="I47" s="47" t="s">
        <v>3432</v>
      </c>
      <c r="J47" s="30" t="s">
        <v>99</v>
      </c>
      <c r="K47" s="48" t="s">
        <v>2928</v>
      </c>
      <c r="L47" s="50" t="s">
        <v>2387</v>
      </c>
      <c r="M47" s="50" t="s">
        <v>2385</v>
      </c>
      <c r="N47" s="50" t="s">
        <v>2387</v>
      </c>
      <c r="O47" s="50" t="s">
        <v>2955</v>
      </c>
      <c r="P47" s="50" t="s">
        <v>2512</v>
      </c>
      <c r="Q47" s="59" t="s">
        <v>3038</v>
      </c>
      <c r="R47" s="50" t="s">
        <v>2623</v>
      </c>
      <c r="S47" s="50" t="s">
        <v>2387</v>
      </c>
      <c r="T47" s="52" t="s">
        <v>2461</v>
      </c>
      <c r="U47" s="50" t="s">
        <v>2431</v>
      </c>
      <c r="V47" s="50" t="s">
        <v>2541</v>
      </c>
      <c r="W47" s="50" t="s">
        <v>2431</v>
      </c>
      <c r="X47" s="50" t="s">
        <v>2998</v>
      </c>
      <c r="Y47" s="52" t="s">
        <v>2442</v>
      </c>
      <c r="Z47" s="50" t="s">
        <v>2441</v>
      </c>
      <c r="AA47" s="50" t="s">
        <v>2618</v>
      </c>
      <c r="AB47" s="52" t="s">
        <v>2402</v>
      </c>
      <c r="AC47" s="52" t="s">
        <v>3152</v>
      </c>
      <c r="AD47" s="50" t="s">
        <v>3057</v>
      </c>
      <c r="AE47" s="50" t="s">
        <v>2617</v>
      </c>
      <c r="AF47" s="50" t="s">
        <v>2414</v>
      </c>
      <c r="AG47" s="50" t="s">
        <v>2387</v>
      </c>
      <c r="AH47" s="50" t="s">
        <v>3083</v>
      </c>
      <c r="AI47" s="50" t="s">
        <v>3509</v>
      </c>
      <c r="AJ47" s="51" t="s">
        <v>2386</v>
      </c>
      <c r="AK47" s="52" t="s">
        <v>2387</v>
      </c>
      <c r="AL47" s="50" t="s">
        <v>99</v>
      </c>
      <c r="AM47" s="52" t="s">
        <v>99</v>
      </c>
      <c r="AN47" s="55" t="s">
        <v>99</v>
      </c>
      <c r="AO47" s="7" t="s">
        <v>0</v>
      </c>
    </row>
    <row r="48" spans="1:41" ht="12.75" customHeight="1" x14ac:dyDescent="0.2">
      <c r="A48" s="21" t="s">
        <v>67</v>
      </c>
      <c r="B48" s="21" t="s">
        <v>1203</v>
      </c>
      <c r="C48" s="21">
        <v>2021</v>
      </c>
      <c r="D48" s="45" t="str">
        <f>HYPERLINK("http://dx.doi.org/10.3390/su13095217","http://dx.doi.org/10.3390/su13095217")</f>
        <v>http://dx.doi.org/10.3390/su13095217</v>
      </c>
      <c r="E48" s="46" t="s">
        <v>3105</v>
      </c>
      <c r="F48" s="43" t="s">
        <v>3374</v>
      </c>
      <c r="G48" s="44" t="s">
        <v>3471</v>
      </c>
      <c r="H48" s="43" t="s">
        <v>2445</v>
      </c>
      <c r="I48" s="47" t="s">
        <v>3433</v>
      </c>
      <c r="J48" s="30" t="s">
        <v>2621</v>
      </c>
      <c r="K48" s="48" t="s">
        <v>2622</v>
      </c>
      <c r="L48" s="50" t="s">
        <v>2387</v>
      </c>
      <c r="M48" s="50" t="s">
        <v>2385</v>
      </c>
      <c r="N48" s="50" t="s">
        <v>2385</v>
      </c>
      <c r="O48" s="50" t="s">
        <v>2399</v>
      </c>
      <c r="P48" s="50" t="s">
        <v>2512</v>
      </c>
      <c r="Q48" s="56" t="s">
        <v>2620</v>
      </c>
      <c r="R48" s="50" t="s">
        <v>2619</v>
      </c>
      <c r="S48" s="50" t="s">
        <v>2385</v>
      </c>
      <c r="T48" s="52" t="s">
        <v>2461</v>
      </c>
      <c r="U48" s="50" t="s">
        <v>2431</v>
      </c>
      <c r="V48" s="50" t="s">
        <v>2541</v>
      </c>
      <c r="W48" s="50" t="s">
        <v>2431</v>
      </c>
      <c r="X48" s="50" t="s">
        <v>2998</v>
      </c>
      <c r="Y48" s="52" t="s">
        <v>2442</v>
      </c>
      <c r="Z48" s="50" t="s">
        <v>2441</v>
      </c>
      <c r="AA48" s="50" t="s">
        <v>2618</v>
      </c>
      <c r="AB48" s="52" t="s">
        <v>2402</v>
      </c>
      <c r="AC48" s="53" t="s">
        <v>3172</v>
      </c>
      <c r="AD48" s="50" t="s">
        <v>3057</v>
      </c>
      <c r="AE48" s="50" t="s">
        <v>2617</v>
      </c>
      <c r="AF48" s="50" t="s">
        <v>2414</v>
      </c>
      <c r="AG48" s="50" t="s">
        <v>2387</v>
      </c>
      <c r="AH48" s="50" t="s">
        <v>3083</v>
      </c>
      <c r="AI48" s="50" t="s">
        <v>3509</v>
      </c>
      <c r="AJ48" s="51" t="s">
        <v>2386</v>
      </c>
      <c r="AK48" s="52" t="s">
        <v>2387</v>
      </c>
      <c r="AL48" s="50" t="s">
        <v>99</v>
      </c>
      <c r="AM48" s="52" t="s">
        <v>99</v>
      </c>
      <c r="AN48" s="55" t="s">
        <v>99</v>
      </c>
      <c r="AO48" s="7" t="s">
        <v>0</v>
      </c>
    </row>
    <row r="49" spans="1:41" ht="12.75" customHeight="1" x14ac:dyDescent="0.2">
      <c r="A49" s="21" t="s">
        <v>425</v>
      </c>
      <c r="B49" s="21" t="s">
        <v>424</v>
      </c>
      <c r="C49" s="21">
        <v>2020</v>
      </c>
      <c r="D49" s="45" t="s">
        <v>2614</v>
      </c>
      <c r="E49" s="46" t="s">
        <v>3104</v>
      </c>
      <c r="F49" s="43" t="s">
        <v>3244</v>
      </c>
      <c r="G49" s="44" t="s">
        <v>3478</v>
      </c>
      <c r="H49" s="43" t="s">
        <v>3182</v>
      </c>
      <c r="I49" s="53" t="s">
        <v>3404</v>
      </c>
      <c r="J49" s="30" t="s">
        <v>2505</v>
      </c>
      <c r="K49" s="48" t="s">
        <v>2613</v>
      </c>
      <c r="L49" s="50" t="s">
        <v>2387</v>
      </c>
      <c r="M49" s="50" t="s">
        <v>2385</v>
      </c>
      <c r="N49" s="50" t="s">
        <v>2385</v>
      </c>
      <c r="O49" s="50" t="s">
        <v>2262</v>
      </c>
      <c r="P49" s="50" t="s">
        <v>2262</v>
      </c>
      <c r="Q49" s="59" t="s">
        <v>3036</v>
      </c>
      <c r="R49" s="50" t="s">
        <v>2390</v>
      </c>
      <c r="S49" s="50" t="s">
        <v>2385</v>
      </c>
      <c r="T49" s="52" t="s">
        <v>2398</v>
      </c>
      <c r="U49" s="50" t="s">
        <v>2431</v>
      </c>
      <c r="V49" s="50" t="s">
        <v>2612</v>
      </c>
      <c r="W49" s="50" t="s">
        <v>2431</v>
      </c>
      <c r="X49" s="50" t="s">
        <v>2396</v>
      </c>
      <c r="Y49" s="52" t="s">
        <v>2395</v>
      </c>
      <c r="Z49" s="50" t="s">
        <v>2417</v>
      </c>
      <c r="AA49" s="50" t="s">
        <v>2611</v>
      </c>
      <c r="AB49" s="52" t="s">
        <v>2402</v>
      </c>
      <c r="AC49" s="53" t="s">
        <v>3144</v>
      </c>
      <c r="AD49" s="50" t="s">
        <v>3053</v>
      </c>
      <c r="AE49" s="50" t="s">
        <v>99</v>
      </c>
      <c r="AF49" s="50" t="s">
        <v>2288</v>
      </c>
      <c r="AG49" s="50" t="s">
        <v>2385</v>
      </c>
      <c r="AH49" s="50" t="s">
        <v>3084</v>
      </c>
      <c r="AI49" s="50" t="s">
        <v>3510</v>
      </c>
      <c r="AJ49" s="51" t="s">
        <v>2386</v>
      </c>
      <c r="AK49" s="52" t="s">
        <v>2385</v>
      </c>
      <c r="AL49" s="50" t="s">
        <v>99</v>
      </c>
      <c r="AM49" s="52" t="s">
        <v>99</v>
      </c>
      <c r="AN49" s="55" t="s">
        <v>99</v>
      </c>
      <c r="AO49" s="7" t="s">
        <v>0</v>
      </c>
    </row>
    <row r="50" spans="1:41" ht="12.75" customHeight="1" x14ac:dyDescent="0.2">
      <c r="A50" s="21" t="s">
        <v>618</v>
      </c>
      <c r="B50" s="21" t="s">
        <v>424</v>
      </c>
      <c r="C50" s="21">
        <v>2021</v>
      </c>
      <c r="D50" s="45" t="s">
        <v>2616</v>
      </c>
      <c r="E50" s="46" t="s">
        <v>3104</v>
      </c>
      <c r="F50" s="43" t="s">
        <v>3244</v>
      </c>
      <c r="G50" s="44" t="s">
        <v>3479</v>
      </c>
      <c r="H50" s="43" t="s">
        <v>3182</v>
      </c>
      <c r="I50" s="47" t="s">
        <v>3434</v>
      </c>
      <c r="J50" s="30" t="s">
        <v>99</v>
      </c>
      <c r="K50" s="48" t="s">
        <v>2615</v>
      </c>
      <c r="L50" s="50" t="s">
        <v>2387</v>
      </c>
      <c r="M50" s="50" t="s">
        <v>2385</v>
      </c>
      <c r="N50" s="50" t="s">
        <v>2385</v>
      </c>
      <c r="O50" s="50" t="s">
        <v>2262</v>
      </c>
      <c r="P50" s="50" t="s">
        <v>2262</v>
      </c>
      <c r="Q50" s="59" t="s">
        <v>3035</v>
      </c>
      <c r="R50" s="50" t="s">
        <v>2390</v>
      </c>
      <c r="S50" s="50" t="s">
        <v>2385</v>
      </c>
      <c r="T50" s="52" t="s">
        <v>2398</v>
      </c>
      <c r="U50" s="50" t="s">
        <v>2431</v>
      </c>
      <c r="V50" s="50" t="s">
        <v>2612</v>
      </c>
      <c r="W50" s="50" t="s">
        <v>2431</v>
      </c>
      <c r="X50" s="50" t="s">
        <v>2396</v>
      </c>
      <c r="Y50" s="52" t="s">
        <v>2395</v>
      </c>
      <c r="Z50" s="50" t="s">
        <v>2417</v>
      </c>
      <c r="AA50" s="50" t="s">
        <v>2262</v>
      </c>
      <c r="AB50" s="52" t="s">
        <v>2402</v>
      </c>
      <c r="AC50" s="52" t="s">
        <v>3153</v>
      </c>
      <c r="AD50" s="50" t="s">
        <v>3053</v>
      </c>
      <c r="AE50" s="50" t="s">
        <v>99</v>
      </c>
      <c r="AF50" s="50" t="s">
        <v>2288</v>
      </c>
      <c r="AG50" s="50" t="s">
        <v>2385</v>
      </c>
      <c r="AH50" s="50" t="s">
        <v>3084</v>
      </c>
      <c r="AI50" s="50" t="s">
        <v>3510</v>
      </c>
      <c r="AJ50" s="51" t="s">
        <v>2386</v>
      </c>
      <c r="AK50" s="52" t="s">
        <v>2385</v>
      </c>
      <c r="AL50" s="50" t="s">
        <v>2404</v>
      </c>
      <c r="AM50" s="52" t="s">
        <v>2913</v>
      </c>
      <c r="AN50" s="55" t="s">
        <v>99</v>
      </c>
      <c r="AO50" s="7" t="s">
        <v>0</v>
      </c>
    </row>
    <row r="51" spans="1:41" ht="12.75" customHeight="1" x14ac:dyDescent="0.2">
      <c r="A51" s="21" t="s">
        <v>121</v>
      </c>
      <c r="B51" s="21" t="s">
        <v>1243</v>
      </c>
      <c r="C51" s="21">
        <v>2024</v>
      </c>
      <c r="D51" s="45" t="s">
        <v>60</v>
      </c>
      <c r="E51" s="46" t="s">
        <v>3097</v>
      </c>
      <c r="F51" s="43" t="s">
        <v>3204</v>
      </c>
      <c r="G51" s="44" t="s">
        <v>3350</v>
      </c>
      <c r="H51" s="43" t="s">
        <v>2445</v>
      </c>
      <c r="I51" s="47" t="s">
        <v>3476</v>
      </c>
      <c r="J51" s="30" t="s">
        <v>2609</v>
      </c>
      <c r="K51" s="48" t="s">
        <v>2610</v>
      </c>
      <c r="L51" s="50" t="s">
        <v>2387</v>
      </c>
      <c r="M51" s="50" t="s">
        <v>2387</v>
      </c>
      <c r="N51" s="50" t="s">
        <v>2387</v>
      </c>
      <c r="O51" s="50" t="s">
        <v>2953</v>
      </c>
      <c r="P51" s="54" t="s">
        <v>2980</v>
      </c>
      <c r="Q51" s="56" t="s">
        <v>2608</v>
      </c>
      <c r="R51" s="50" t="s">
        <v>2390</v>
      </c>
      <c r="S51" s="50" t="s">
        <v>2385</v>
      </c>
      <c r="T51" s="52" t="s">
        <v>3249</v>
      </c>
      <c r="U51" s="50" t="s">
        <v>2397</v>
      </c>
      <c r="V51" s="50" t="s">
        <v>2397</v>
      </c>
      <c r="W51" s="50" t="s">
        <v>2607</v>
      </c>
      <c r="X51" s="50" t="s">
        <v>2990</v>
      </c>
      <c r="Y51" s="52" t="s">
        <v>2395</v>
      </c>
      <c r="Z51" s="50" t="s">
        <v>2441</v>
      </c>
      <c r="AA51" s="50" t="s">
        <v>2606</v>
      </c>
      <c r="AB51" s="52" t="s">
        <v>2402</v>
      </c>
      <c r="AC51" s="53" t="s">
        <v>3167</v>
      </c>
      <c r="AD51" s="50" t="s">
        <v>3053</v>
      </c>
      <c r="AE51" s="50" t="s">
        <v>2428</v>
      </c>
      <c r="AF51" s="50" t="s">
        <v>2388</v>
      </c>
      <c r="AG51" s="50" t="s">
        <v>2387</v>
      </c>
      <c r="AH51" s="50" t="s">
        <v>3087</v>
      </c>
      <c r="AI51" s="50" t="s">
        <v>3511</v>
      </c>
      <c r="AJ51" s="51" t="s">
        <v>2386</v>
      </c>
      <c r="AK51" s="52" t="s">
        <v>2385</v>
      </c>
      <c r="AL51" s="50" t="s">
        <v>2404</v>
      </c>
      <c r="AM51" s="52" t="s">
        <v>2605</v>
      </c>
      <c r="AN51" s="55" t="s">
        <v>99</v>
      </c>
      <c r="AO51" s="7" t="s">
        <v>0</v>
      </c>
    </row>
    <row r="52" spans="1:41" ht="12.75" customHeight="1" x14ac:dyDescent="0.2">
      <c r="A52" s="21" t="s">
        <v>2260</v>
      </c>
      <c r="B52" s="21" t="s">
        <v>2259</v>
      </c>
      <c r="C52" s="21">
        <v>2021</v>
      </c>
      <c r="D52" s="45" t="str">
        <f>HYPERLINK("http://dx.doi.org/10.1016/j.gloenvcha.2021.102316","http://dx.doi.org/10.1016/j.gloenvcha.2021.102316")</f>
        <v>http://dx.doi.org/10.1016/j.gloenvcha.2021.102316</v>
      </c>
      <c r="E52" s="46" t="s">
        <v>3098</v>
      </c>
      <c r="F52" s="43" t="s">
        <v>3233</v>
      </c>
      <c r="G52" s="44" t="s">
        <v>3483</v>
      </c>
      <c r="H52" s="43" t="s">
        <v>3182</v>
      </c>
      <c r="I52" s="47" t="s">
        <v>3414</v>
      </c>
      <c r="J52" s="30" t="s">
        <v>2603</v>
      </c>
      <c r="K52" s="48" t="s">
        <v>2604</v>
      </c>
      <c r="L52" s="50" t="s">
        <v>2385</v>
      </c>
      <c r="M52" s="50" t="s">
        <v>2385</v>
      </c>
      <c r="N52" s="50" t="s">
        <v>2387</v>
      </c>
      <c r="O52" s="50" t="s">
        <v>2399</v>
      </c>
      <c r="P52" s="50" t="s">
        <v>2959</v>
      </c>
      <c r="Q52" s="51" t="s">
        <v>2602</v>
      </c>
      <c r="R52" s="50" t="s">
        <v>2390</v>
      </c>
      <c r="S52" s="50" t="s">
        <v>2385</v>
      </c>
      <c r="T52" s="52" t="s">
        <v>2398</v>
      </c>
      <c r="U52" s="50" t="s">
        <v>2397</v>
      </c>
      <c r="V52" s="50" t="s">
        <v>2397</v>
      </c>
      <c r="W52" s="50" t="s">
        <v>2601</v>
      </c>
      <c r="X52" s="50" t="s">
        <v>2993</v>
      </c>
      <c r="Y52" s="52" t="s">
        <v>2600</v>
      </c>
      <c r="Z52" s="50" t="s">
        <v>2417</v>
      </c>
      <c r="AA52" s="50" t="s">
        <v>2262</v>
      </c>
      <c r="AB52" s="52" t="s">
        <v>2402</v>
      </c>
      <c r="AC52" s="53" t="s">
        <v>3145</v>
      </c>
      <c r="AD52" s="50" t="s">
        <v>3053</v>
      </c>
      <c r="AE52" s="50" t="s">
        <v>2485</v>
      </c>
      <c r="AF52" s="50" t="s">
        <v>2414</v>
      </c>
      <c r="AG52" s="50" t="s">
        <v>2387</v>
      </c>
      <c r="AH52" s="50" t="s">
        <v>3084</v>
      </c>
      <c r="AI52" s="50" t="s">
        <v>3526</v>
      </c>
      <c r="AJ52" s="51" t="s">
        <v>2413</v>
      </c>
      <c r="AK52" s="52" t="s">
        <v>2387</v>
      </c>
      <c r="AL52" s="50" t="s">
        <v>2404</v>
      </c>
      <c r="AM52" s="47" t="s">
        <v>2914</v>
      </c>
      <c r="AN52" s="55" t="s">
        <v>99</v>
      </c>
      <c r="AO52" s="7" t="s">
        <v>0</v>
      </c>
    </row>
    <row r="53" spans="1:41" ht="12.75" customHeight="1" x14ac:dyDescent="0.2">
      <c r="A53" s="21" t="s">
        <v>652</v>
      </c>
      <c r="B53" s="21" t="s">
        <v>651</v>
      </c>
      <c r="C53" s="21">
        <v>2023</v>
      </c>
      <c r="D53" s="45" t="str">
        <f>HYPERLINK("http://dx.doi.org/10.1111/jiec.13388","http://dx.doi.org/10.1111/jiec.13388")</f>
        <v>http://dx.doi.org/10.1111/jiec.13388</v>
      </c>
      <c r="E53" s="46" t="s">
        <v>3097</v>
      </c>
      <c r="F53" s="43" t="s">
        <v>3200</v>
      </c>
      <c r="G53" s="44" t="s">
        <v>3311</v>
      </c>
      <c r="H53" s="43" t="s">
        <v>3180</v>
      </c>
      <c r="I53" s="47" t="s">
        <v>3437</v>
      </c>
      <c r="J53" s="30" t="s">
        <v>2599</v>
      </c>
      <c r="K53" s="48" t="s">
        <v>99</v>
      </c>
      <c r="L53" s="50" t="s">
        <v>2385</v>
      </c>
      <c r="M53" s="50" t="s">
        <v>2387</v>
      </c>
      <c r="N53" s="50" t="s">
        <v>2387</v>
      </c>
      <c r="O53" s="50" t="s">
        <v>2953</v>
      </c>
      <c r="P53" s="50" t="s">
        <v>2964</v>
      </c>
      <c r="Q53" s="56" t="s">
        <v>3039</v>
      </c>
      <c r="R53" s="50" t="s">
        <v>2390</v>
      </c>
      <c r="S53" s="50" t="s">
        <v>2385</v>
      </c>
      <c r="T53" s="52" t="s">
        <v>2398</v>
      </c>
      <c r="U53" s="50" t="s">
        <v>2397</v>
      </c>
      <c r="V53" s="50" t="s">
        <v>2397</v>
      </c>
      <c r="W53" s="50" t="s">
        <v>2397</v>
      </c>
      <c r="X53" s="50" t="s">
        <v>2598</v>
      </c>
      <c r="Y53" s="52" t="s">
        <v>2442</v>
      </c>
      <c r="Z53" s="50" t="s">
        <v>2394</v>
      </c>
      <c r="AA53" s="50" t="s">
        <v>2597</v>
      </c>
      <c r="AB53" s="52" t="s">
        <v>2596</v>
      </c>
      <c r="AC53" s="53" t="s">
        <v>3146</v>
      </c>
      <c r="AD53" s="50" t="s">
        <v>3053</v>
      </c>
      <c r="AE53" s="50" t="s">
        <v>2574</v>
      </c>
      <c r="AF53" s="50" t="s">
        <v>2388</v>
      </c>
      <c r="AG53" s="50" t="s">
        <v>2387</v>
      </c>
      <c r="AH53" s="50" t="s">
        <v>3084</v>
      </c>
      <c r="AI53" s="50" t="s">
        <v>3527</v>
      </c>
      <c r="AJ53" s="51" t="s">
        <v>2386</v>
      </c>
      <c r="AK53" s="52" t="s">
        <v>2385</v>
      </c>
      <c r="AL53" s="50" t="s">
        <v>2404</v>
      </c>
      <c r="AM53" s="47" t="s">
        <v>2915</v>
      </c>
      <c r="AN53" s="55" t="s">
        <v>99</v>
      </c>
      <c r="AO53" s="7" t="s">
        <v>0</v>
      </c>
    </row>
    <row r="54" spans="1:41" ht="12.75" customHeight="1" x14ac:dyDescent="0.2">
      <c r="A54" s="21" t="s">
        <v>34</v>
      </c>
      <c r="B54" s="21" t="s">
        <v>163</v>
      </c>
      <c r="C54" s="21">
        <v>2017</v>
      </c>
      <c r="D54" s="45" t="str">
        <f>HYPERLINK("http://dx.doi.org/10.1038/s41560-017-0032-9","http://dx.doi.org/10.1038/s41560-017-0032-9")</f>
        <v>http://dx.doi.org/10.1038/s41560-017-0032-9</v>
      </c>
      <c r="E54" s="46" t="s">
        <v>3099</v>
      </c>
      <c r="F54" s="43" t="s">
        <v>3222</v>
      </c>
      <c r="G54" s="44" t="s">
        <v>3356</v>
      </c>
      <c r="H54" s="43" t="s">
        <v>2445</v>
      </c>
      <c r="I54" s="47" t="s">
        <v>3480</v>
      </c>
      <c r="J54" s="30" t="s">
        <v>2595</v>
      </c>
      <c r="K54" s="48" t="s">
        <v>2422</v>
      </c>
      <c r="L54" s="50" t="s">
        <v>2385</v>
      </c>
      <c r="M54" s="50" t="s">
        <v>2385</v>
      </c>
      <c r="N54" s="50" t="s">
        <v>2387</v>
      </c>
      <c r="O54" s="50" t="s">
        <v>2399</v>
      </c>
      <c r="P54" s="50" t="s">
        <v>2959</v>
      </c>
      <c r="Q54" s="51" t="s">
        <v>2390</v>
      </c>
      <c r="R54" s="50" t="s">
        <v>2390</v>
      </c>
      <c r="S54" s="50" t="s">
        <v>2385</v>
      </c>
      <c r="T54" s="52" t="s">
        <v>2461</v>
      </c>
      <c r="U54" s="50" t="s">
        <v>2397</v>
      </c>
      <c r="V54" s="50" t="s">
        <v>2397</v>
      </c>
      <c r="W54" s="50" t="s">
        <v>2594</v>
      </c>
      <c r="X54" s="50" t="s">
        <v>2488</v>
      </c>
      <c r="Y54" s="52" t="s">
        <v>2593</v>
      </c>
      <c r="Z54" s="54" t="s">
        <v>2441</v>
      </c>
      <c r="AA54" s="54" t="s">
        <v>2592</v>
      </c>
      <c r="AB54" s="52" t="s">
        <v>2402</v>
      </c>
      <c r="AC54" s="53" t="s">
        <v>2591</v>
      </c>
      <c r="AD54" s="50" t="s">
        <v>3076</v>
      </c>
      <c r="AE54" s="50" t="s">
        <v>2590</v>
      </c>
      <c r="AF54" s="50" t="s">
        <v>2388</v>
      </c>
      <c r="AG54" s="50" t="s">
        <v>2387</v>
      </c>
      <c r="AH54" s="50" t="s">
        <v>3087</v>
      </c>
      <c r="AI54" s="50" t="s">
        <v>3512</v>
      </c>
      <c r="AJ54" s="51" t="s">
        <v>2386</v>
      </c>
      <c r="AK54" s="52" t="s">
        <v>2385</v>
      </c>
      <c r="AL54" s="50" t="s">
        <v>2404</v>
      </c>
      <c r="AM54" s="47" t="s">
        <v>2916</v>
      </c>
      <c r="AN54" s="55" t="s">
        <v>99</v>
      </c>
      <c r="AO54" s="7" t="s">
        <v>0</v>
      </c>
    </row>
    <row r="55" spans="1:41" ht="12.75" customHeight="1" x14ac:dyDescent="0.2">
      <c r="A55" s="21" t="s">
        <v>1461</v>
      </c>
      <c r="B55" s="21" t="s">
        <v>1778</v>
      </c>
      <c r="C55" s="21">
        <v>2018</v>
      </c>
      <c r="D55" s="45" t="str">
        <f>HYPERLINK("http://dx.doi.org/10.1016/j.jclepro.2018.03.285","http://dx.doi.org/10.1016/j.jclepro.2018.03.285")</f>
        <v>http://dx.doi.org/10.1016/j.jclepro.2018.03.285</v>
      </c>
      <c r="E55" s="46" t="s">
        <v>3097</v>
      </c>
      <c r="F55" s="43" t="s">
        <v>3202</v>
      </c>
      <c r="G55" s="44" t="s">
        <v>3322</v>
      </c>
      <c r="H55" s="43" t="s">
        <v>2445</v>
      </c>
      <c r="I55" s="47" t="s">
        <v>3402</v>
      </c>
      <c r="J55" s="30" t="s">
        <v>2588</v>
      </c>
      <c r="K55" s="48" t="s">
        <v>2589</v>
      </c>
      <c r="L55" s="50" t="s">
        <v>2387</v>
      </c>
      <c r="M55" s="50" t="s">
        <v>2385</v>
      </c>
      <c r="N55" s="50" t="s">
        <v>2387</v>
      </c>
      <c r="O55" s="50" t="s">
        <v>2399</v>
      </c>
      <c r="P55" s="50" t="s">
        <v>2963</v>
      </c>
      <c r="Q55" s="51" t="s">
        <v>2587</v>
      </c>
      <c r="R55" s="50" t="s">
        <v>2390</v>
      </c>
      <c r="S55" s="50" t="s">
        <v>2385</v>
      </c>
      <c r="T55" s="52" t="s">
        <v>3249</v>
      </c>
      <c r="U55" s="50" t="s">
        <v>2431</v>
      </c>
      <c r="V55" s="50" t="s">
        <v>2515</v>
      </c>
      <c r="W55" s="50" t="s">
        <v>2431</v>
      </c>
      <c r="X55" s="50" t="s">
        <v>2586</v>
      </c>
      <c r="Y55" s="52" t="s">
        <v>2395</v>
      </c>
      <c r="Z55" s="50" t="s">
        <v>2441</v>
      </c>
      <c r="AA55" s="50" t="s">
        <v>2585</v>
      </c>
      <c r="AB55" s="52" t="s">
        <v>2584</v>
      </c>
      <c r="AC55" s="53" t="s">
        <v>3163</v>
      </c>
      <c r="AD55" s="50" t="s">
        <v>3053</v>
      </c>
      <c r="AE55" s="50" t="s">
        <v>2574</v>
      </c>
      <c r="AF55" s="50" t="s">
        <v>2388</v>
      </c>
      <c r="AG55" s="50" t="s">
        <v>2385</v>
      </c>
      <c r="AH55" s="50" t="s">
        <v>3084</v>
      </c>
      <c r="AI55" s="50" t="s">
        <v>0</v>
      </c>
      <c r="AJ55" s="56" t="s">
        <v>2386</v>
      </c>
      <c r="AK55" s="52" t="s">
        <v>2385</v>
      </c>
      <c r="AL55" s="50" t="s">
        <v>99</v>
      </c>
      <c r="AM55" s="52" t="s">
        <v>99</v>
      </c>
      <c r="AN55" s="55" t="s">
        <v>99</v>
      </c>
      <c r="AO55" s="7" t="s">
        <v>0</v>
      </c>
    </row>
    <row r="56" spans="1:41" ht="12.75" customHeight="1" x14ac:dyDescent="0.2">
      <c r="A56" s="21" t="s">
        <v>508</v>
      </c>
      <c r="B56" s="21" t="s">
        <v>507</v>
      </c>
      <c r="C56" s="21">
        <v>2018</v>
      </c>
      <c r="D56" s="45" t="str">
        <f>HYPERLINK("http://dx.doi.org/10.1016/j.wasman.2018.07.006","http://dx.doi.org/10.1016/j.wasman.2018.07.006")</f>
        <v>http://dx.doi.org/10.1016/j.wasman.2018.07.006</v>
      </c>
      <c r="E56" s="46" t="s">
        <v>3104</v>
      </c>
      <c r="F56" s="43" t="s">
        <v>3227</v>
      </c>
      <c r="G56" s="44" t="s">
        <v>3380</v>
      </c>
      <c r="H56" s="43" t="s">
        <v>3183</v>
      </c>
      <c r="I56" s="47" t="s">
        <v>3451</v>
      </c>
      <c r="J56" s="30" t="s">
        <v>99</v>
      </c>
      <c r="K56" s="48" t="s">
        <v>2583</v>
      </c>
      <c r="L56" s="50" t="s">
        <v>2385</v>
      </c>
      <c r="M56" s="50" t="s">
        <v>2385</v>
      </c>
      <c r="N56" s="50" t="s">
        <v>2385</v>
      </c>
      <c r="O56" s="50" t="s">
        <v>2399</v>
      </c>
      <c r="P56" s="50" t="s">
        <v>2959</v>
      </c>
      <c r="Q56" s="51" t="s">
        <v>2390</v>
      </c>
      <c r="R56" s="54" t="s">
        <v>2582</v>
      </c>
      <c r="S56" s="54" t="s">
        <v>2387</v>
      </c>
      <c r="T56" s="52" t="s">
        <v>2516</v>
      </c>
      <c r="U56" s="50" t="s">
        <v>2431</v>
      </c>
      <c r="V56" s="50" t="s">
        <v>2581</v>
      </c>
      <c r="W56" s="50" t="s">
        <v>2431</v>
      </c>
      <c r="X56" s="54" t="s">
        <v>2985</v>
      </c>
      <c r="Y56" s="52" t="s">
        <v>2580</v>
      </c>
      <c r="Z56" s="50" t="s">
        <v>2513</v>
      </c>
      <c r="AA56" s="54" t="s">
        <v>2579</v>
      </c>
      <c r="AB56" s="52" t="s">
        <v>2578</v>
      </c>
      <c r="AC56" s="53" t="s">
        <v>3173</v>
      </c>
      <c r="AD56" s="50" t="s">
        <v>3079</v>
      </c>
      <c r="AE56" s="50" t="s">
        <v>2456</v>
      </c>
      <c r="AF56" s="50" t="s">
        <v>2388</v>
      </c>
      <c r="AG56" s="50" t="s">
        <v>2387</v>
      </c>
      <c r="AH56" s="54" t="s">
        <v>3086</v>
      </c>
      <c r="AI56" s="50" t="s">
        <v>3513</v>
      </c>
      <c r="AJ56" s="51" t="s">
        <v>2386</v>
      </c>
      <c r="AK56" s="52" t="s">
        <v>2385</v>
      </c>
      <c r="AL56" s="50" t="s">
        <v>99</v>
      </c>
      <c r="AM56" s="52" t="s">
        <v>99</v>
      </c>
      <c r="AN56" s="55" t="s">
        <v>99</v>
      </c>
      <c r="AO56" s="7" t="s">
        <v>0</v>
      </c>
    </row>
    <row r="57" spans="1:41" ht="12.75" customHeight="1" x14ac:dyDescent="0.2">
      <c r="A57" s="21" t="s">
        <v>334</v>
      </c>
      <c r="B57" s="21" t="s">
        <v>286</v>
      </c>
      <c r="C57" s="21">
        <v>2021</v>
      </c>
      <c r="D57" s="45" t="str">
        <f>HYPERLINK("http://dx.doi.org/10.1016/j.resconrec.2021.105818","http://dx.doi.org/10.1016/j.resconrec.2021.105818")</f>
        <v>http://dx.doi.org/10.1016/j.resconrec.2021.105818</v>
      </c>
      <c r="E57" s="46" t="s">
        <v>3097</v>
      </c>
      <c r="F57" s="43" t="s">
        <v>3210</v>
      </c>
      <c r="G57" s="44" t="s">
        <v>3323</v>
      </c>
      <c r="H57" s="43" t="s">
        <v>2445</v>
      </c>
      <c r="I57" s="47" t="s">
        <v>3405</v>
      </c>
      <c r="J57" s="30" t="s">
        <v>2505</v>
      </c>
      <c r="K57" s="48" t="s">
        <v>2422</v>
      </c>
      <c r="L57" s="50" t="s">
        <v>2385</v>
      </c>
      <c r="M57" s="50" t="s">
        <v>2385</v>
      </c>
      <c r="N57" s="50" t="s">
        <v>2385</v>
      </c>
      <c r="O57" s="50" t="s">
        <v>2262</v>
      </c>
      <c r="P57" s="50" t="s">
        <v>2262</v>
      </c>
      <c r="Q57" s="56" t="s">
        <v>3018</v>
      </c>
      <c r="R57" s="50" t="s">
        <v>2577</v>
      </c>
      <c r="S57" s="50" t="s">
        <v>2387</v>
      </c>
      <c r="T57" s="52" t="s">
        <v>2440</v>
      </c>
      <c r="U57" s="50" t="s">
        <v>2431</v>
      </c>
      <c r="V57" s="50" t="s">
        <v>2576</v>
      </c>
      <c r="W57" s="50" t="s">
        <v>2431</v>
      </c>
      <c r="X57" s="50" t="s">
        <v>2396</v>
      </c>
      <c r="Y57" s="52" t="s">
        <v>2442</v>
      </c>
      <c r="Z57" s="50" t="s">
        <v>2441</v>
      </c>
      <c r="AA57" s="50" t="s">
        <v>2575</v>
      </c>
      <c r="AB57" s="52" t="s">
        <v>2402</v>
      </c>
      <c r="AC57" s="53" t="s">
        <v>3147</v>
      </c>
      <c r="AD57" s="50" t="s">
        <v>3078</v>
      </c>
      <c r="AE57" s="50" t="s">
        <v>2574</v>
      </c>
      <c r="AF57" s="50" t="s">
        <v>2388</v>
      </c>
      <c r="AG57" s="50" t="s">
        <v>2387</v>
      </c>
      <c r="AH57" s="50" t="s">
        <v>3084</v>
      </c>
      <c r="AI57" s="50" t="s">
        <v>0</v>
      </c>
      <c r="AJ57" s="51" t="s">
        <v>2386</v>
      </c>
      <c r="AK57" s="53" t="s">
        <v>2387</v>
      </c>
      <c r="AL57" s="50" t="s">
        <v>99</v>
      </c>
      <c r="AM57" s="52" t="s">
        <v>99</v>
      </c>
      <c r="AN57" s="55" t="s">
        <v>99</v>
      </c>
      <c r="AO57" s="7" t="s">
        <v>0</v>
      </c>
    </row>
    <row r="58" spans="1:41" ht="12.75" customHeight="1" x14ac:dyDescent="0.2">
      <c r="A58" s="21" t="s">
        <v>119</v>
      </c>
      <c r="B58" s="21" t="s">
        <v>1237</v>
      </c>
      <c r="C58" s="21">
        <v>2021</v>
      </c>
      <c r="D58" s="45" t="str">
        <f>HYPERLINK("http://dx.doi.org/10.1016/j.compchemeng.2021.107406","http://dx.doi.org/10.1016/j.compchemeng.2021.107406")</f>
        <v>http://dx.doi.org/10.1016/j.compchemeng.2021.107406</v>
      </c>
      <c r="E58" s="46" t="s">
        <v>3105</v>
      </c>
      <c r="F58" s="43" t="s">
        <v>3375</v>
      </c>
      <c r="G58" s="44" t="s">
        <v>3381</v>
      </c>
      <c r="H58" s="43" t="s">
        <v>2445</v>
      </c>
      <c r="I58" s="47" t="s">
        <v>3406</v>
      </c>
      <c r="J58" s="30" t="s">
        <v>2941</v>
      </c>
      <c r="K58" s="48" t="s">
        <v>2573</v>
      </c>
      <c r="L58" s="50" t="s">
        <v>2387</v>
      </c>
      <c r="M58" s="50" t="s">
        <v>2387</v>
      </c>
      <c r="N58" s="50" t="s">
        <v>2387</v>
      </c>
      <c r="O58" s="50" t="s">
        <v>2572</v>
      </c>
      <c r="P58" s="50" t="s">
        <v>2965</v>
      </c>
      <c r="Q58" s="51" t="s">
        <v>2571</v>
      </c>
      <c r="R58" s="50" t="s">
        <v>2570</v>
      </c>
      <c r="S58" s="50" t="s">
        <v>2385</v>
      </c>
      <c r="T58" s="52" t="s">
        <v>2461</v>
      </c>
      <c r="U58" s="50" t="s">
        <v>2431</v>
      </c>
      <c r="V58" s="50" t="s">
        <v>2541</v>
      </c>
      <c r="W58" s="50" t="s">
        <v>2431</v>
      </c>
      <c r="X58" s="50" t="s">
        <v>2569</v>
      </c>
      <c r="Y58" s="52" t="s">
        <v>2442</v>
      </c>
      <c r="Z58" s="50" t="s">
        <v>2441</v>
      </c>
      <c r="AA58" s="50" t="s">
        <v>2262</v>
      </c>
      <c r="AB58" s="52" t="s">
        <v>2402</v>
      </c>
      <c r="AC58" s="53" t="s">
        <v>2568</v>
      </c>
      <c r="AD58" s="50" t="s">
        <v>3059</v>
      </c>
      <c r="AE58" s="50" t="s">
        <v>2485</v>
      </c>
      <c r="AF58" s="50" t="s">
        <v>2567</v>
      </c>
      <c r="AG58" s="50" t="s">
        <v>2387</v>
      </c>
      <c r="AH58" s="50" t="s">
        <v>3083</v>
      </c>
      <c r="AI58" s="50" t="s">
        <v>3514</v>
      </c>
      <c r="AJ58" s="51" t="s">
        <v>2386</v>
      </c>
      <c r="AK58" s="52" t="s">
        <v>2387</v>
      </c>
      <c r="AL58" s="50" t="s">
        <v>2404</v>
      </c>
      <c r="AM58" s="52" t="s">
        <v>2566</v>
      </c>
      <c r="AN58" s="55" t="s">
        <v>99</v>
      </c>
      <c r="AO58" s="7" t="s">
        <v>0</v>
      </c>
    </row>
    <row r="59" spans="1:41" ht="12.75" customHeight="1" x14ac:dyDescent="0.2">
      <c r="A59" s="21" t="s">
        <v>363</v>
      </c>
      <c r="B59" s="21" t="s">
        <v>362</v>
      </c>
      <c r="C59" s="21">
        <v>2024</v>
      </c>
      <c r="D59" s="45" t="str">
        <f>HYPERLINK("http://dx.doi.org/10.1016/j.enbuild.2024.114214","http://dx.doi.org/10.1016/j.enbuild.2024.114214")</f>
        <v>http://dx.doi.org/10.1016/j.enbuild.2024.114214</v>
      </c>
      <c r="E59" s="46" t="s">
        <v>3097</v>
      </c>
      <c r="F59" s="43" t="s">
        <v>3312</v>
      </c>
      <c r="G59" s="44" t="s">
        <v>3351</v>
      </c>
      <c r="H59" s="43" t="s">
        <v>3184</v>
      </c>
      <c r="I59" s="47" t="s">
        <v>3438</v>
      </c>
      <c r="J59" s="30" t="s">
        <v>2942</v>
      </c>
      <c r="K59" s="48" t="s">
        <v>2929</v>
      </c>
      <c r="L59" s="50" t="s">
        <v>2385</v>
      </c>
      <c r="M59" s="50" t="s">
        <v>2385</v>
      </c>
      <c r="N59" s="50" t="s">
        <v>2387</v>
      </c>
      <c r="O59" s="50" t="s">
        <v>2399</v>
      </c>
      <c r="P59" s="50" t="s">
        <v>2959</v>
      </c>
      <c r="Q59" s="62" t="s">
        <v>2565</v>
      </c>
      <c r="R59" s="54" t="s">
        <v>2564</v>
      </c>
      <c r="S59" s="50" t="s">
        <v>2385</v>
      </c>
      <c r="T59" s="52" t="s">
        <v>2461</v>
      </c>
      <c r="U59" s="50" t="s">
        <v>2431</v>
      </c>
      <c r="V59" s="50" t="s">
        <v>2563</v>
      </c>
      <c r="W59" s="50" t="s">
        <v>2431</v>
      </c>
      <c r="X59" s="50" t="s">
        <v>2418</v>
      </c>
      <c r="Y59" s="52" t="s">
        <v>2395</v>
      </c>
      <c r="Z59" s="50" t="s">
        <v>2448</v>
      </c>
      <c r="AA59" s="50" t="s">
        <v>2562</v>
      </c>
      <c r="AB59" s="52" t="s">
        <v>2402</v>
      </c>
      <c r="AC59" s="53" t="s">
        <v>3164</v>
      </c>
      <c r="AD59" s="50" t="s">
        <v>3053</v>
      </c>
      <c r="AE59" s="50" t="s">
        <v>2561</v>
      </c>
      <c r="AF59" s="50" t="s">
        <v>2484</v>
      </c>
      <c r="AG59" s="50" t="s">
        <v>2387</v>
      </c>
      <c r="AH59" s="50" t="s">
        <v>3083</v>
      </c>
      <c r="AI59" s="50" t="s">
        <v>3516</v>
      </c>
      <c r="AJ59" s="51" t="s">
        <v>2386</v>
      </c>
      <c r="AK59" s="53" t="s">
        <v>2387</v>
      </c>
      <c r="AL59" s="50" t="s">
        <v>2404</v>
      </c>
      <c r="AM59" s="52" t="s">
        <v>2560</v>
      </c>
      <c r="AN59" s="55" t="s">
        <v>99</v>
      </c>
      <c r="AO59" s="7" t="s">
        <v>0</v>
      </c>
    </row>
    <row r="60" spans="1:41" ht="12.75" customHeight="1" x14ac:dyDescent="0.2">
      <c r="A60" s="21" t="s">
        <v>22</v>
      </c>
      <c r="B60" s="21" t="s">
        <v>1199</v>
      </c>
      <c r="C60" s="21">
        <v>2023</v>
      </c>
      <c r="D60" s="45" t="str">
        <f>HYPERLINK("http://dx.doi.org/10.1016/j.rser.2023.113485","http://dx.doi.org/10.1016/j.rser.2023.113485")</f>
        <v>http://dx.doi.org/10.1016/j.rser.2023.113485</v>
      </c>
      <c r="E60" s="46" t="s">
        <v>3097</v>
      </c>
      <c r="F60" s="43" t="s">
        <v>3195</v>
      </c>
      <c r="G60" s="44" t="s">
        <v>3324</v>
      </c>
      <c r="H60" s="43" t="s">
        <v>2445</v>
      </c>
      <c r="I60" s="47" t="s">
        <v>3444</v>
      </c>
      <c r="J60" s="30" t="s">
        <v>2943</v>
      </c>
      <c r="K60" s="48" t="s">
        <v>2422</v>
      </c>
      <c r="L60" s="50" t="s">
        <v>2385</v>
      </c>
      <c r="M60" s="50" t="s">
        <v>2385</v>
      </c>
      <c r="N60" s="50" t="s">
        <v>2387</v>
      </c>
      <c r="O60" s="50" t="s">
        <v>2399</v>
      </c>
      <c r="P60" s="50" t="s">
        <v>2959</v>
      </c>
      <c r="Q60" s="51" t="s">
        <v>2390</v>
      </c>
      <c r="R60" s="61" t="s">
        <v>2559</v>
      </c>
      <c r="S60" s="50" t="s">
        <v>2385</v>
      </c>
      <c r="T60" s="52" t="s">
        <v>2440</v>
      </c>
      <c r="U60" s="50" t="s">
        <v>2460</v>
      </c>
      <c r="V60" s="50" t="s">
        <v>2558</v>
      </c>
      <c r="W60" s="50" t="s">
        <v>2557</v>
      </c>
      <c r="X60" s="50" t="s">
        <v>2556</v>
      </c>
      <c r="Y60" s="52" t="s">
        <v>2395</v>
      </c>
      <c r="Z60" s="50" t="s">
        <v>2441</v>
      </c>
      <c r="AA60" s="50" t="s">
        <v>2555</v>
      </c>
      <c r="AB60" s="52" t="s">
        <v>2402</v>
      </c>
      <c r="AC60" s="53" t="s">
        <v>3156</v>
      </c>
      <c r="AD60" s="50" t="s">
        <v>3063</v>
      </c>
      <c r="AE60" s="50" t="s">
        <v>2561</v>
      </c>
      <c r="AF60" s="50" t="s">
        <v>2414</v>
      </c>
      <c r="AG60" s="50" t="s">
        <v>2387</v>
      </c>
      <c r="AH60" s="50" t="s">
        <v>3083</v>
      </c>
      <c r="AI60" s="50" t="s">
        <v>3516</v>
      </c>
      <c r="AJ60" s="51" t="s">
        <v>2386</v>
      </c>
      <c r="AK60" s="52" t="s">
        <v>2385</v>
      </c>
      <c r="AL60" s="50" t="s">
        <v>2404</v>
      </c>
      <c r="AM60" s="52" t="s">
        <v>2554</v>
      </c>
      <c r="AN60" s="55" t="s">
        <v>99</v>
      </c>
      <c r="AO60" s="7" t="s">
        <v>0</v>
      </c>
    </row>
    <row r="61" spans="1:41" ht="12.75" customHeight="1" x14ac:dyDescent="0.2">
      <c r="A61" s="21" t="s">
        <v>443</v>
      </c>
      <c r="B61" s="21" t="s">
        <v>2553</v>
      </c>
      <c r="C61" s="21">
        <v>2022</v>
      </c>
      <c r="D61" s="45" t="str">
        <f>HYPERLINK("http://dx.doi.org/10.1016/j.apenergy.2021.118065","http://dx.doi.org/10.1016/j.apenergy.2021.118065")</f>
        <v>http://dx.doi.org/10.1016/j.apenergy.2021.118065</v>
      </c>
      <c r="E61" s="46" t="s">
        <v>3104</v>
      </c>
      <c r="F61" s="43" t="s">
        <v>3247</v>
      </c>
      <c r="G61" s="44" t="s">
        <v>3383</v>
      </c>
      <c r="H61" s="43" t="s">
        <v>2445</v>
      </c>
      <c r="I61" s="47" t="s">
        <v>3456</v>
      </c>
      <c r="J61" s="30" t="s">
        <v>2551</v>
      </c>
      <c r="K61" s="48" t="s">
        <v>2552</v>
      </c>
      <c r="L61" s="50" t="s">
        <v>2387</v>
      </c>
      <c r="M61" s="50" t="s">
        <v>2385</v>
      </c>
      <c r="N61" s="50" t="s">
        <v>2387</v>
      </c>
      <c r="O61" s="50" t="s">
        <v>2399</v>
      </c>
      <c r="P61" s="50" t="s">
        <v>2512</v>
      </c>
      <c r="Q61" s="51" t="s">
        <v>2550</v>
      </c>
      <c r="R61" s="50" t="s">
        <v>2390</v>
      </c>
      <c r="S61" s="50" t="s">
        <v>2385</v>
      </c>
      <c r="T61" s="52" t="s">
        <v>2440</v>
      </c>
      <c r="U61" s="50" t="s">
        <v>2431</v>
      </c>
      <c r="V61" s="50" t="s">
        <v>2432</v>
      </c>
      <c r="W61" s="50" t="s">
        <v>2431</v>
      </c>
      <c r="X61" s="50" t="s">
        <v>2425</v>
      </c>
      <c r="Y61" s="52" t="s">
        <v>2549</v>
      </c>
      <c r="Z61" s="50" t="s">
        <v>2441</v>
      </c>
      <c r="AA61" s="50" t="s">
        <v>2548</v>
      </c>
      <c r="AB61" s="52" t="s">
        <v>2402</v>
      </c>
      <c r="AC61" s="53" t="s">
        <v>3148</v>
      </c>
      <c r="AD61" s="50" t="s">
        <v>3053</v>
      </c>
      <c r="AE61" s="50" t="s">
        <v>2389</v>
      </c>
      <c r="AF61" s="50" t="s">
        <v>2414</v>
      </c>
      <c r="AG61" s="50" t="s">
        <v>2387</v>
      </c>
      <c r="AH61" s="50" t="s">
        <v>3095</v>
      </c>
      <c r="AI61" s="50" t="s">
        <v>3530</v>
      </c>
      <c r="AJ61" s="51" t="s">
        <v>2386</v>
      </c>
      <c r="AK61" s="52" t="s">
        <v>2385</v>
      </c>
      <c r="AL61" s="50" t="s">
        <v>99</v>
      </c>
      <c r="AM61" s="52" t="s">
        <v>99</v>
      </c>
      <c r="AN61" s="55" t="s">
        <v>99</v>
      </c>
      <c r="AO61" s="7" t="s">
        <v>0</v>
      </c>
    </row>
    <row r="62" spans="1:41" ht="12.75" customHeight="1" x14ac:dyDescent="0.2">
      <c r="A62" s="21" t="s">
        <v>1</v>
      </c>
      <c r="B62" s="21" t="s">
        <v>1233</v>
      </c>
      <c r="C62" s="21">
        <v>2023</v>
      </c>
      <c r="D62" s="45" t="str">
        <f>HYPERLINK("http://dx.doi.org/10.1038/s41467-023-39749-y","http://dx.doi.org/10.1038/s41467-023-39749-y")</f>
        <v>http://dx.doi.org/10.1038/s41467-023-39749-y</v>
      </c>
      <c r="E62" s="46" t="s">
        <v>3098</v>
      </c>
      <c r="F62" s="43" t="s">
        <v>3230</v>
      </c>
      <c r="G62" s="44" t="s">
        <v>3325</v>
      </c>
      <c r="H62" s="43" t="s">
        <v>3184</v>
      </c>
      <c r="I62" s="47" t="s">
        <v>3443</v>
      </c>
      <c r="J62" s="30" t="s">
        <v>2944</v>
      </c>
      <c r="K62" s="48" t="s">
        <v>2422</v>
      </c>
      <c r="L62" s="50" t="s">
        <v>2387</v>
      </c>
      <c r="M62" s="50" t="s">
        <v>2387</v>
      </c>
      <c r="N62" s="50" t="s">
        <v>2387</v>
      </c>
      <c r="O62" s="50" t="s">
        <v>2955</v>
      </c>
      <c r="P62" s="50" t="s">
        <v>2512</v>
      </c>
      <c r="Q62" s="51" t="s">
        <v>2390</v>
      </c>
      <c r="R62" s="50" t="s">
        <v>3253</v>
      </c>
      <c r="S62" s="50" t="s">
        <v>2385</v>
      </c>
      <c r="T62" s="52" t="s">
        <v>2440</v>
      </c>
      <c r="U62" s="50" t="s">
        <v>2460</v>
      </c>
      <c r="V62" s="50" t="s">
        <v>3042</v>
      </c>
      <c r="W62" s="50" t="s">
        <v>3042</v>
      </c>
      <c r="X62" s="50" t="s">
        <v>2991</v>
      </c>
      <c r="Y62" s="52" t="s">
        <v>2395</v>
      </c>
      <c r="Z62" s="50" t="s">
        <v>2448</v>
      </c>
      <c r="AA62" s="50" t="s">
        <v>2547</v>
      </c>
      <c r="AB62" s="52" t="s">
        <v>2402</v>
      </c>
      <c r="AC62" s="53" t="s">
        <v>3149</v>
      </c>
      <c r="AD62" s="50" t="s">
        <v>3062</v>
      </c>
      <c r="AE62" s="50" t="s">
        <v>2546</v>
      </c>
      <c r="AF62" s="50" t="s">
        <v>2414</v>
      </c>
      <c r="AG62" s="50" t="s">
        <v>2387</v>
      </c>
      <c r="AH62" s="50" t="s">
        <v>3081</v>
      </c>
      <c r="AI62" s="50" t="s">
        <v>3515</v>
      </c>
      <c r="AJ62" s="51" t="s">
        <v>2386</v>
      </c>
      <c r="AK62" s="52" t="s">
        <v>2385</v>
      </c>
      <c r="AL62" s="50" t="s">
        <v>2404</v>
      </c>
      <c r="AM62" s="52" t="s">
        <v>2545</v>
      </c>
      <c r="AN62" s="55" t="s">
        <v>2902</v>
      </c>
      <c r="AO62" s="7" t="s">
        <v>0</v>
      </c>
    </row>
    <row r="63" spans="1:41" ht="12.75" customHeight="1" x14ac:dyDescent="0.2">
      <c r="A63" s="21" t="s">
        <v>183</v>
      </c>
      <c r="B63" s="21" t="s">
        <v>182</v>
      </c>
      <c r="C63" s="21">
        <v>2024</v>
      </c>
      <c r="D63" s="45" t="str">
        <f>HYPERLINK("http://dx.doi.org/10.1016/j.jclepro.2024.144158","http://dx.doi.org/10.1016/j.jclepro.2024.144158")</f>
        <v>http://dx.doi.org/10.1016/j.jclepro.2024.144158</v>
      </c>
      <c r="E63" s="46" t="s">
        <v>3097</v>
      </c>
      <c r="F63" s="43" t="s">
        <v>3196</v>
      </c>
      <c r="G63" s="44" t="s">
        <v>3326</v>
      </c>
      <c r="H63" s="43" t="s">
        <v>2445</v>
      </c>
      <c r="I63" s="47" t="s">
        <v>3455</v>
      </c>
      <c r="J63" s="30" t="s">
        <v>2544</v>
      </c>
      <c r="K63" s="48" t="s">
        <v>2926</v>
      </c>
      <c r="L63" s="50" t="s">
        <v>2387</v>
      </c>
      <c r="M63" s="50" t="s">
        <v>2385</v>
      </c>
      <c r="N63" s="50" t="s">
        <v>2387</v>
      </c>
      <c r="O63" s="50" t="s">
        <v>2399</v>
      </c>
      <c r="P63" s="50" t="s">
        <v>2963</v>
      </c>
      <c r="Q63" s="51" t="s">
        <v>2543</v>
      </c>
      <c r="R63" s="50" t="s">
        <v>2542</v>
      </c>
      <c r="S63" s="50" t="s">
        <v>2387</v>
      </c>
      <c r="T63" s="52" t="s">
        <v>2440</v>
      </c>
      <c r="U63" s="50" t="s">
        <v>2431</v>
      </c>
      <c r="V63" s="50" t="s">
        <v>2541</v>
      </c>
      <c r="W63" s="50" t="s">
        <v>2431</v>
      </c>
      <c r="X63" s="50" t="s">
        <v>2396</v>
      </c>
      <c r="Y63" s="52" t="s">
        <v>2395</v>
      </c>
      <c r="Z63" s="50" t="s">
        <v>2441</v>
      </c>
      <c r="AA63" s="50" t="s">
        <v>2540</v>
      </c>
      <c r="AB63" s="52" t="s">
        <v>2539</v>
      </c>
      <c r="AC63" s="53" t="s">
        <v>3157</v>
      </c>
      <c r="AD63" s="50" t="s">
        <v>3080</v>
      </c>
      <c r="AE63" s="50" t="s">
        <v>2533</v>
      </c>
      <c r="AF63" s="50" t="s">
        <v>2388</v>
      </c>
      <c r="AG63" s="50" t="s">
        <v>2387</v>
      </c>
      <c r="AH63" s="50" t="s">
        <v>3081</v>
      </c>
      <c r="AI63" s="50" t="s">
        <v>3493</v>
      </c>
      <c r="AJ63" s="51" t="s">
        <v>2386</v>
      </c>
      <c r="AK63" s="52" t="s">
        <v>2385</v>
      </c>
      <c r="AL63" s="50" t="s">
        <v>99</v>
      </c>
      <c r="AM63" s="52" t="s">
        <v>99</v>
      </c>
      <c r="AN63" s="55" t="s">
        <v>99</v>
      </c>
      <c r="AO63" s="7" t="s">
        <v>0</v>
      </c>
    </row>
    <row r="64" spans="1:41" ht="12.75" customHeight="1" x14ac:dyDescent="0.2">
      <c r="A64" s="21" t="s">
        <v>2360</v>
      </c>
      <c r="B64" s="21" t="s">
        <v>2361</v>
      </c>
      <c r="C64" s="21">
        <v>2025</v>
      </c>
      <c r="D64" s="45" t="str">
        <f>HYPERLINK("http://dx.doi.org/10.1021/acssuschemeng.5c01290","http://dx.doi.org/10.1021/acssuschemeng.5c01290")</f>
        <v>http://dx.doi.org/10.1021/acssuschemeng.5c01290</v>
      </c>
      <c r="E64" s="46" t="s">
        <v>3098</v>
      </c>
      <c r="F64" s="43" t="s">
        <v>2538</v>
      </c>
      <c r="G64" s="44" t="s">
        <v>3342</v>
      </c>
      <c r="H64" s="43" t="s">
        <v>3181</v>
      </c>
      <c r="I64" s="47" t="s">
        <v>3399</v>
      </c>
      <c r="J64" s="30" t="s">
        <v>99</v>
      </c>
      <c r="K64" s="48" t="s">
        <v>2422</v>
      </c>
      <c r="L64" s="50" t="s">
        <v>2385</v>
      </c>
      <c r="M64" s="50" t="s">
        <v>2385</v>
      </c>
      <c r="N64" s="50" t="s">
        <v>2387</v>
      </c>
      <c r="O64" s="50" t="s">
        <v>2399</v>
      </c>
      <c r="P64" s="50" t="s">
        <v>2959</v>
      </c>
      <c r="Q64" s="51" t="s">
        <v>2390</v>
      </c>
      <c r="R64" s="50" t="s">
        <v>2537</v>
      </c>
      <c r="S64" s="50" t="s">
        <v>2387</v>
      </c>
      <c r="T64" s="52" t="s">
        <v>2461</v>
      </c>
      <c r="U64" s="50" t="s">
        <v>2397</v>
      </c>
      <c r="V64" s="50" t="s">
        <v>2397</v>
      </c>
      <c r="W64" s="50" t="s">
        <v>2397</v>
      </c>
      <c r="X64" s="50" t="s">
        <v>2987</v>
      </c>
      <c r="Y64" s="52" t="s">
        <v>2536</v>
      </c>
      <c r="Z64" s="50" t="s">
        <v>2441</v>
      </c>
      <c r="AA64" s="50" t="s">
        <v>2535</v>
      </c>
      <c r="AB64" s="52" t="s">
        <v>2402</v>
      </c>
      <c r="AC64" s="52" t="s">
        <v>2534</v>
      </c>
      <c r="AD64" s="50" t="s">
        <v>3053</v>
      </c>
      <c r="AE64" s="50" t="s">
        <v>2533</v>
      </c>
      <c r="AF64" s="50" t="s">
        <v>2414</v>
      </c>
      <c r="AG64" s="50" t="s">
        <v>2387</v>
      </c>
      <c r="AH64" s="50" t="s">
        <v>3081</v>
      </c>
      <c r="AI64" s="50" t="s">
        <v>3493</v>
      </c>
      <c r="AJ64" s="51" t="s">
        <v>2386</v>
      </c>
      <c r="AK64" s="52" t="s">
        <v>2387</v>
      </c>
      <c r="AL64" s="50" t="s">
        <v>99</v>
      </c>
      <c r="AM64" s="52" t="s">
        <v>99</v>
      </c>
      <c r="AN64" s="55" t="s">
        <v>3386</v>
      </c>
      <c r="AO64" s="7" t="s">
        <v>0</v>
      </c>
    </row>
    <row r="65" spans="1:41" ht="12.75" customHeight="1" x14ac:dyDescent="0.2">
      <c r="A65" s="21" t="s">
        <v>105</v>
      </c>
      <c r="B65" s="21" t="s">
        <v>2532</v>
      </c>
      <c r="C65" s="21">
        <v>2021</v>
      </c>
      <c r="D65" s="45" t="str">
        <f>HYPERLINK("http://dx.doi.org/10.1016/j.spc.2021.01.011","http://dx.doi.org/10.1016/j.spc.2021.01.011")</f>
        <v>http://dx.doi.org/10.1016/j.spc.2021.01.011</v>
      </c>
      <c r="E65" s="46" t="s">
        <v>3097</v>
      </c>
      <c r="F65" s="43" t="s">
        <v>3197</v>
      </c>
      <c r="G65" s="44" t="s">
        <v>3336</v>
      </c>
      <c r="H65" s="43" t="s">
        <v>2445</v>
      </c>
      <c r="I65" s="47" t="s">
        <v>3427</v>
      </c>
      <c r="J65" s="30" t="s">
        <v>2530</v>
      </c>
      <c r="K65" s="48" t="s">
        <v>2531</v>
      </c>
      <c r="L65" s="50" t="s">
        <v>2387</v>
      </c>
      <c r="M65" s="50" t="s">
        <v>2387</v>
      </c>
      <c r="N65" s="50" t="s">
        <v>2387</v>
      </c>
      <c r="O65" s="50" t="s">
        <v>2399</v>
      </c>
      <c r="P65" s="50" t="s">
        <v>2512</v>
      </c>
      <c r="Q65" s="51" t="s">
        <v>2529</v>
      </c>
      <c r="R65" s="50" t="s">
        <v>2390</v>
      </c>
      <c r="S65" s="50" t="s">
        <v>2385</v>
      </c>
      <c r="T65" s="52" t="s">
        <v>2528</v>
      </c>
      <c r="U65" s="50" t="s">
        <v>2431</v>
      </c>
      <c r="V65" s="50" t="s">
        <v>2449</v>
      </c>
      <c r="W65" s="50" t="s">
        <v>2431</v>
      </c>
      <c r="X65" s="50" t="s">
        <v>2527</v>
      </c>
      <c r="Y65" s="52" t="s">
        <v>2395</v>
      </c>
      <c r="Z65" s="50" t="s">
        <v>2441</v>
      </c>
      <c r="AA65" s="50" t="s">
        <v>2262</v>
      </c>
      <c r="AB65" s="52" t="s">
        <v>2402</v>
      </c>
      <c r="AC65" s="52" t="s">
        <v>3168</v>
      </c>
      <c r="AD65" s="50" t="s">
        <v>3053</v>
      </c>
      <c r="AE65" s="50" t="s">
        <v>2526</v>
      </c>
      <c r="AF65" s="50" t="s">
        <v>2388</v>
      </c>
      <c r="AG65" s="50" t="s">
        <v>2387</v>
      </c>
      <c r="AH65" s="50" t="s">
        <v>3083</v>
      </c>
      <c r="AI65" s="50" t="s">
        <v>0</v>
      </c>
      <c r="AJ65" s="51" t="s">
        <v>2386</v>
      </c>
      <c r="AK65" s="52" t="s">
        <v>2385</v>
      </c>
      <c r="AL65" s="50" t="s">
        <v>99</v>
      </c>
      <c r="AM65" s="52" t="s">
        <v>99</v>
      </c>
      <c r="AN65" s="55" t="s">
        <v>99</v>
      </c>
      <c r="AO65" s="7" t="s">
        <v>0</v>
      </c>
    </row>
    <row r="66" spans="1:41" ht="12.75" customHeight="1" x14ac:dyDescent="0.2">
      <c r="A66" s="21" t="s">
        <v>1501</v>
      </c>
      <c r="B66" s="21" t="s">
        <v>2054</v>
      </c>
      <c r="C66" s="21">
        <v>2012</v>
      </c>
      <c r="D66" s="45" t="str">
        <f>HYPERLINK("http://dx.doi.org/10.1016/j.energy.2012.07.014","http://dx.doi.org/10.1016/j.energy.2012.07.014")</f>
        <v>http://dx.doi.org/10.1016/j.energy.2012.07.014</v>
      </c>
      <c r="E66" s="46" t="s">
        <v>3104</v>
      </c>
      <c r="F66" s="43" t="s">
        <v>3360</v>
      </c>
      <c r="G66" s="44" t="s">
        <v>3361</v>
      </c>
      <c r="H66" s="43" t="s">
        <v>3181</v>
      </c>
      <c r="I66" s="47" t="s">
        <v>3458</v>
      </c>
      <c r="J66" s="30" t="s">
        <v>2524</v>
      </c>
      <c r="K66" s="48" t="s">
        <v>2525</v>
      </c>
      <c r="L66" s="50" t="s">
        <v>2385</v>
      </c>
      <c r="M66" s="50" t="s">
        <v>2385</v>
      </c>
      <c r="N66" s="50" t="s">
        <v>2385</v>
      </c>
      <c r="O66" s="50" t="s">
        <v>2262</v>
      </c>
      <c r="P66" s="50" t="s">
        <v>2262</v>
      </c>
      <c r="Q66" s="51" t="s">
        <v>2390</v>
      </c>
      <c r="R66" s="50" t="s">
        <v>2390</v>
      </c>
      <c r="S66" s="50" t="s">
        <v>2385</v>
      </c>
      <c r="T66" s="52" t="s">
        <v>2461</v>
      </c>
      <c r="U66" s="50" t="s">
        <v>2397</v>
      </c>
      <c r="V66" s="50" t="s">
        <v>2397</v>
      </c>
      <c r="W66" s="50" t="s">
        <v>2397</v>
      </c>
      <c r="X66" s="50" t="s">
        <v>2523</v>
      </c>
      <c r="Y66" s="52" t="s">
        <v>2395</v>
      </c>
      <c r="Z66" s="50" t="s">
        <v>2441</v>
      </c>
      <c r="AA66" s="50" t="s">
        <v>2262</v>
      </c>
      <c r="AB66" s="52" t="s">
        <v>2402</v>
      </c>
      <c r="AC66" s="53" t="s">
        <v>2522</v>
      </c>
      <c r="AD66" s="50" t="s">
        <v>3053</v>
      </c>
      <c r="AE66" s="50" t="s">
        <v>2521</v>
      </c>
      <c r="AF66" s="50" t="s">
        <v>2388</v>
      </c>
      <c r="AG66" s="50" t="s">
        <v>2387</v>
      </c>
      <c r="AH66" s="50" t="s">
        <v>3083</v>
      </c>
      <c r="AI66" s="50" t="s">
        <v>0</v>
      </c>
      <c r="AJ66" s="51" t="s">
        <v>2386</v>
      </c>
      <c r="AK66" s="53" t="s">
        <v>2387</v>
      </c>
      <c r="AL66" s="50" t="s">
        <v>2404</v>
      </c>
      <c r="AM66" s="53" t="s">
        <v>2520</v>
      </c>
      <c r="AN66" s="55" t="s">
        <v>99</v>
      </c>
      <c r="AO66" s="7" t="s">
        <v>0</v>
      </c>
    </row>
    <row r="67" spans="1:41" ht="12.75" customHeight="1" x14ac:dyDescent="0.2">
      <c r="A67" s="21" t="s">
        <v>2304</v>
      </c>
      <c r="B67" s="21" t="s">
        <v>2519</v>
      </c>
      <c r="C67" s="21">
        <v>2016</v>
      </c>
      <c r="D67" s="45" t="str">
        <f>HYPERLINK("http://dx.doi.org/10.3390/su8050411","http://dx.doi.org/10.3390/su8050411")</f>
        <v>http://dx.doi.org/10.3390/su8050411</v>
      </c>
      <c r="E67" s="46" t="s">
        <v>3096</v>
      </c>
      <c r="F67" s="43" t="s">
        <v>3304</v>
      </c>
      <c r="G67" s="44" t="s">
        <v>3482</v>
      </c>
      <c r="H67" s="43" t="s">
        <v>3183</v>
      </c>
      <c r="I67" s="47" t="s">
        <v>3440</v>
      </c>
      <c r="J67" s="30" t="s">
        <v>2518</v>
      </c>
      <c r="K67" s="48" t="s">
        <v>99</v>
      </c>
      <c r="L67" s="50" t="s">
        <v>2387</v>
      </c>
      <c r="M67" s="50" t="s">
        <v>2385</v>
      </c>
      <c r="N67" s="50" t="s">
        <v>2385</v>
      </c>
      <c r="O67" s="50" t="s">
        <v>2262</v>
      </c>
      <c r="P67" s="50" t="s">
        <v>2262</v>
      </c>
      <c r="Q67" s="51" t="s">
        <v>2517</v>
      </c>
      <c r="R67" s="50" t="s">
        <v>2390</v>
      </c>
      <c r="S67" s="50" t="s">
        <v>2385</v>
      </c>
      <c r="T67" s="52" t="s">
        <v>2516</v>
      </c>
      <c r="U67" s="50" t="s">
        <v>2431</v>
      </c>
      <c r="V67" s="50" t="s">
        <v>2515</v>
      </c>
      <c r="W67" s="50" t="s">
        <v>2431</v>
      </c>
      <c r="X67" s="50" t="s">
        <v>2514</v>
      </c>
      <c r="Y67" s="52" t="s">
        <v>2514</v>
      </c>
      <c r="Z67" s="50" t="s">
        <v>2513</v>
      </c>
      <c r="AA67" s="50" t="s">
        <v>3052</v>
      </c>
      <c r="AB67" s="52" t="s">
        <v>2402</v>
      </c>
      <c r="AC67" s="53" t="s">
        <v>3165</v>
      </c>
      <c r="AD67" s="50" t="s">
        <v>3077</v>
      </c>
      <c r="AE67" s="50" t="s">
        <v>2779</v>
      </c>
      <c r="AF67" s="50" t="s">
        <v>2388</v>
      </c>
      <c r="AG67" s="50" t="s">
        <v>2387</v>
      </c>
      <c r="AH67" s="50" t="s">
        <v>3091</v>
      </c>
      <c r="AI67" s="50" t="s">
        <v>3495</v>
      </c>
      <c r="AJ67" s="51" t="s">
        <v>2386</v>
      </c>
      <c r="AK67" s="52" t="s">
        <v>2387</v>
      </c>
      <c r="AL67" s="50" t="s">
        <v>99</v>
      </c>
      <c r="AM67" s="52" t="s">
        <v>99</v>
      </c>
      <c r="AN67" s="55" t="s">
        <v>99</v>
      </c>
      <c r="AO67" s="7" t="s">
        <v>0</v>
      </c>
    </row>
    <row r="68" spans="1:41" ht="12.75" customHeight="1" x14ac:dyDescent="0.2">
      <c r="A68" s="21" t="s">
        <v>1191</v>
      </c>
      <c r="B68" s="21" t="s">
        <v>1197</v>
      </c>
      <c r="C68" s="21">
        <v>2023</v>
      </c>
      <c r="D68" s="45" t="str">
        <f>HYPERLINK("http://dx.doi.org/10.1038/s41558-023-01782-6","http://dx.doi.org/10.1038/s41558-023-01782-6")</f>
        <v>http://dx.doi.org/10.1038/s41558-023-01782-6</v>
      </c>
      <c r="E68" s="46" t="s">
        <v>3097</v>
      </c>
      <c r="F68" s="43" t="s">
        <v>3198</v>
      </c>
      <c r="G68" s="44" t="s">
        <v>3327</v>
      </c>
      <c r="H68" s="43" t="s">
        <v>3180</v>
      </c>
      <c r="I68" s="53" t="s">
        <v>0</v>
      </c>
      <c r="J68" s="30" t="s">
        <v>2945</v>
      </c>
      <c r="K68" s="48" t="s">
        <v>99</v>
      </c>
      <c r="L68" s="50" t="s">
        <v>2385</v>
      </c>
      <c r="M68" s="50" t="s">
        <v>2387</v>
      </c>
      <c r="N68" s="50" t="s">
        <v>2387</v>
      </c>
      <c r="O68" s="50" t="s">
        <v>2511</v>
      </c>
      <c r="P68" s="50" t="s">
        <v>2512</v>
      </c>
      <c r="Q68" s="51" t="s">
        <v>2390</v>
      </c>
      <c r="R68" s="50" t="s">
        <v>2390</v>
      </c>
      <c r="S68" s="50" t="s">
        <v>2385</v>
      </c>
      <c r="T68" s="52" t="s">
        <v>2398</v>
      </c>
      <c r="U68" s="50" t="s">
        <v>2431</v>
      </c>
      <c r="V68" s="50" t="s">
        <v>2444</v>
      </c>
      <c r="W68" s="50" t="s">
        <v>2510</v>
      </c>
      <c r="X68" s="50" t="s">
        <v>2994</v>
      </c>
      <c r="Y68" s="52" t="s">
        <v>2395</v>
      </c>
      <c r="Z68" s="50" t="s">
        <v>2394</v>
      </c>
      <c r="AA68" s="50" t="s">
        <v>2509</v>
      </c>
      <c r="AB68" s="52" t="s">
        <v>2508</v>
      </c>
      <c r="AC68" s="47" t="s">
        <v>3142</v>
      </c>
      <c r="AD68" s="50" t="s">
        <v>3053</v>
      </c>
      <c r="AE68" s="50" t="s">
        <v>99</v>
      </c>
      <c r="AF68" s="50" t="s">
        <v>2288</v>
      </c>
      <c r="AG68" s="50" t="s">
        <v>2385</v>
      </c>
      <c r="AH68" s="50" t="s">
        <v>3093</v>
      </c>
      <c r="AI68" s="50" t="s">
        <v>0</v>
      </c>
      <c r="AJ68" s="51" t="s">
        <v>2386</v>
      </c>
      <c r="AK68" s="52" t="s">
        <v>2385</v>
      </c>
      <c r="AL68" s="50" t="s">
        <v>2404</v>
      </c>
      <c r="AM68" s="52" t="s">
        <v>2507</v>
      </c>
      <c r="AN68" s="55" t="s">
        <v>99</v>
      </c>
      <c r="AO68" s="7" t="s">
        <v>0</v>
      </c>
    </row>
    <row r="69" spans="1:41" ht="12.75" customHeight="1" x14ac:dyDescent="0.2">
      <c r="A69" s="21" t="s">
        <v>26</v>
      </c>
      <c r="B69" s="21" t="s">
        <v>1234</v>
      </c>
      <c r="C69" s="21">
        <v>2023</v>
      </c>
      <c r="D69" s="45" t="str">
        <f>HYPERLINK("http://dx.doi.org/10.1021/acs.est.2c06304","http://dx.doi.org/10.1021/acs.est.2c06304")</f>
        <v>http://dx.doi.org/10.1021/acs.est.2c06304</v>
      </c>
      <c r="E69" s="46" t="s">
        <v>3097</v>
      </c>
      <c r="F69" s="43" t="s">
        <v>3213</v>
      </c>
      <c r="G69" s="44" t="s">
        <v>3345</v>
      </c>
      <c r="H69" s="43" t="s">
        <v>3187</v>
      </c>
      <c r="I69" s="53" t="s">
        <v>3394</v>
      </c>
      <c r="J69" s="30" t="s">
        <v>2505</v>
      </c>
      <c r="K69" s="48" t="s">
        <v>2506</v>
      </c>
      <c r="L69" s="50" t="s">
        <v>2387</v>
      </c>
      <c r="M69" s="50" t="s">
        <v>2385</v>
      </c>
      <c r="N69" s="50" t="s">
        <v>2387</v>
      </c>
      <c r="O69" s="50" t="s">
        <v>2399</v>
      </c>
      <c r="P69" s="50" t="s">
        <v>2512</v>
      </c>
      <c r="Q69" s="51" t="s">
        <v>2504</v>
      </c>
      <c r="R69" s="50" t="s">
        <v>2390</v>
      </c>
      <c r="S69" s="50" t="s">
        <v>2385</v>
      </c>
      <c r="T69" s="52" t="s">
        <v>2440</v>
      </c>
      <c r="U69" s="50" t="s">
        <v>2431</v>
      </c>
      <c r="V69" s="50" t="s">
        <v>3043</v>
      </c>
      <c r="W69" s="50" t="s">
        <v>2431</v>
      </c>
      <c r="X69" s="50" t="s">
        <v>3000</v>
      </c>
      <c r="Y69" s="52" t="s">
        <v>2395</v>
      </c>
      <c r="Z69" s="50" t="s">
        <v>2448</v>
      </c>
      <c r="AA69" s="50" t="s">
        <v>2503</v>
      </c>
      <c r="AB69" s="52" t="s">
        <v>2402</v>
      </c>
      <c r="AC69" s="53" t="s">
        <v>3166</v>
      </c>
      <c r="AD69" s="50" t="s">
        <v>3053</v>
      </c>
      <c r="AE69" s="50" t="s">
        <v>99</v>
      </c>
      <c r="AF69" s="50" t="s">
        <v>2288</v>
      </c>
      <c r="AG69" s="50" t="s">
        <v>2385</v>
      </c>
      <c r="AH69" s="50" t="s">
        <v>3084</v>
      </c>
      <c r="AI69" s="50" t="s">
        <v>0</v>
      </c>
      <c r="AJ69" s="51" t="s">
        <v>2386</v>
      </c>
      <c r="AK69" s="52" t="s">
        <v>2385</v>
      </c>
      <c r="AL69" s="50" t="s">
        <v>2404</v>
      </c>
      <c r="AM69" s="52" t="s">
        <v>2502</v>
      </c>
      <c r="AN69" s="55" t="s">
        <v>2501</v>
      </c>
      <c r="AO69" s="7" t="s">
        <v>0</v>
      </c>
    </row>
    <row r="70" spans="1:41" ht="12.75" customHeight="1" x14ac:dyDescent="0.2">
      <c r="A70" s="21" t="s">
        <v>2270</v>
      </c>
      <c r="B70" s="21" t="s">
        <v>2267</v>
      </c>
      <c r="C70" s="21">
        <v>2023</v>
      </c>
      <c r="D70" s="45" t="str">
        <f>HYPERLINK("http://dx.doi.org/10.1016/j.resconrec.2023.107028","http://dx.doi.org/10.1016/j.resconrec.2023.107028")</f>
        <v>http://dx.doi.org/10.1016/j.resconrec.2023.107028</v>
      </c>
      <c r="E70" s="46" t="s">
        <v>3097</v>
      </c>
      <c r="F70" s="43" t="s">
        <v>3211</v>
      </c>
      <c r="G70" s="44" t="s">
        <v>3328</v>
      </c>
      <c r="H70" s="43" t="s">
        <v>2445</v>
      </c>
      <c r="I70" s="47" t="s">
        <v>3473</v>
      </c>
      <c r="J70" s="30" t="s">
        <v>2499</v>
      </c>
      <c r="K70" s="48" t="s">
        <v>2500</v>
      </c>
      <c r="L70" s="50" t="s">
        <v>2385</v>
      </c>
      <c r="M70" s="50" t="s">
        <v>2385</v>
      </c>
      <c r="N70" s="50" t="s">
        <v>2387</v>
      </c>
      <c r="O70" s="50" t="s">
        <v>2399</v>
      </c>
      <c r="P70" s="50" t="s">
        <v>2959</v>
      </c>
      <c r="Q70" s="51" t="s">
        <v>2498</v>
      </c>
      <c r="R70" s="50" t="s">
        <v>2390</v>
      </c>
      <c r="S70" s="50" t="s">
        <v>2385</v>
      </c>
      <c r="T70" s="52" t="s">
        <v>2440</v>
      </c>
      <c r="U70" s="50" t="s">
        <v>2431</v>
      </c>
      <c r="V70" s="50" t="s">
        <v>2497</v>
      </c>
      <c r="W70" s="50" t="s">
        <v>2431</v>
      </c>
      <c r="X70" s="50" t="s">
        <v>2396</v>
      </c>
      <c r="Y70" s="52" t="s">
        <v>2395</v>
      </c>
      <c r="Z70" s="61" t="s">
        <v>2441</v>
      </c>
      <c r="AA70" s="61" t="s">
        <v>2496</v>
      </c>
      <c r="AB70" s="52" t="s">
        <v>2402</v>
      </c>
      <c r="AC70" s="53" t="s">
        <v>3169</v>
      </c>
      <c r="AD70" s="50" t="s">
        <v>3053</v>
      </c>
      <c r="AE70" s="50" t="s">
        <v>2495</v>
      </c>
      <c r="AF70" s="50" t="s">
        <v>2414</v>
      </c>
      <c r="AG70" s="57" t="s">
        <v>2385</v>
      </c>
      <c r="AH70" s="50" t="s">
        <v>3089</v>
      </c>
      <c r="AI70" s="50" t="s">
        <v>3502</v>
      </c>
      <c r="AJ70" s="51" t="s">
        <v>2386</v>
      </c>
      <c r="AK70" s="52" t="s">
        <v>2385</v>
      </c>
      <c r="AL70" s="50" t="s">
        <v>2404</v>
      </c>
      <c r="AM70" s="47" t="s">
        <v>2917</v>
      </c>
      <c r="AN70" s="55" t="s">
        <v>99</v>
      </c>
      <c r="AO70" s="7" t="s">
        <v>0</v>
      </c>
    </row>
    <row r="71" spans="1:41" ht="12.75" customHeight="1" x14ac:dyDescent="0.2">
      <c r="A71" s="21" t="s">
        <v>6</v>
      </c>
      <c r="B71" s="21" t="s">
        <v>345</v>
      </c>
      <c r="C71" s="21">
        <v>2022</v>
      </c>
      <c r="D71" s="45" t="str">
        <f>HYPERLINK("http://dx.doi.org/10.1111/jiec.13258","http://dx.doi.org/10.1111/jiec.13258")</f>
        <v>http://dx.doi.org/10.1111/jiec.13258</v>
      </c>
      <c r="E71" s="46" t="s">
        <v>3097</v>
      </c>
      <c r="F71" s="43" t="s">
        <v>3216</v>
      </c>
      <c r="G71" s="44" t="s">
        <v>3331</v>
      </c>
      <c r="H71" s="43" t="s">
        <v>3180</v>
      </c>
      <c r="I71" s="47" t="s">
        <v>3410</v>
      </c>
      <c r="J71" s="30" t="s">
        <v>2494</v>
      </c>
      <c r="K71" s="48" t="s">
        <v>2422</v>
      </c>
      <c r="L71" s="50" t="s">
        <v>2387</v>
      </c>
      <c r="M71" s="50" t="s">
        <v>2387</v>
      </c>
      <c r="N71" s="50" t="s">
        <v>2387</v>
      </c>
      <c r="O71" s="50" t="s">
        <v>2955</v>
      </c>
      <c r="P71" s="50" t="s">
        <v>2512</v>
      </c>
      <c r="Q71" s="59" t="s">
        <v>3013</v>
      </c>
      <c r="R71" s="50" t="s">
        <v>3004</v>
      </c>
      <c r="S71" s="50" t="s">
        <v>2385</v>
      </c>
      <c r="T71" s="52" t="s">
        <v>2398</v>
      </c>
      <c r="U71" s="50" t="s">
        <v>2397</v>
      </c>
      <c r="V71" s="50" t="s">
        <v>2397</v>
      </c>
      <c r="W71" s="50" t="s">
        <v>2397</v>
      </c>
      <c r="X71" s="50" t="s">
        <v>2488</v>
      </c>
      <c r="Y71" s="52" t="s">
        <v>2442</v>
      </c>
      <c r="Z71" s="50" t="s">
        <v>2394</v>
      </c>
      <c r="AA71" s="50" t="s">
        <v>2262</v>
      </c>
      <c r="AB71" s="52" t="s">
        <v>2402</v>
      </c>
      <c r="AC71" s="53" t="s">
        <v>3159</v>
      </c>
      <c r="AD71" s="50" t="s">
        <v>3061</v>
      </c>
      <c r="AE71" s="50" t="s">
        <v>2389</v>
      </c>
      <c r="AF71" s="50" t="s">
        <v>2414</v>
      </c>
      <c r="AG71" s="50" t="s">
        <v>2387</v>
      </c>
      <c r="AH71" s="50" t="s">
        <v>3083</v>
      </c>
      <c r="AI71" s="50" t="s">
        <v>3516</v>
      </c>
      <c r="AJ71" s="51" t="s">
        <v>2386</v>
      </c>
      <c r="AK71" s="52" t="s">
        <v>2387</v>
      </c>
      <c r="AL71" s="50" t="s">
        <v>2404</v>
      </c>
      <c r="AM71" s="47" t="s">
        <v>2918</v>
      </c>
      <c r="AN71" s="55" t="s">
        <v>99</v>
      </c>
      <c r="AO71" s="7" t="s">
        <v>0</v>
      </c>
    </row>
    <row r="72" spans="1:41" ht="12.75" customHeight="1" x14ac:dyDescent="0.2">
      <c r="A72" s="21" t="s">
        <v>9</v>
      </c>
      <c r="B72" s="21" t="s">
        <v>1735</v>
      </c>
      <c r="C72" s="21">
        <v>2019</v>
      </c>
      <c r="D72" s="45" t="str">
        <f>HYPERLINK("http://dx.doi.org/10.1111/jiec.12722","http://dx.doi.org/10.1111/jiec.12722")</f>
        <v>http://dx.doi.org/10.1111/jiec.12722</v>
      </c>
      <c r="E72" s="46" t="s">
        <v>3098</v>
      </c>
      <c r="F72" s="43" t="s">
        <v>3314</v>
      </c>
      <c r="G72" s="44" t="s">
        <v>3475</v>
      </c>
      <c r="H72" s="43" t="s">
        <v>3182</v>
      </c>
      <c r="I72" s="47" t="s">
        <v>3442</v>
      </c>
      <c r="J72" s="30" t="s">
        <v>2938</v>
      </c>
      <c r="K72" s="48" t="s">
        <v>2924</v>
      </c>
      <c r="L72" s="50" t="s">
        <v>2387</v>
      </c>
      <c r="M72" s="50" t="s">
        <v>2385</v>
      </c>
      <c r="N72" s="50" t="s">
        <v>2387</v>
      </c>
      <c r="O72" s="50" t="s">
        <v>2399</v>
      </c>
      <c r="P72" s="50" t="s">
        <v>2512</v>
      </c>
      <c r="Q72" s="51" t="s">
        <v>2493</v>
      </c>
      <c r="R72" s="50" t="s">
        <v>3006</v>
      </c>
      <c r="S72" s="50" t="s">
        <v>2385</v>
      </c>
      <c r="T72" s="52" t="s">
        <v>2398</v>
      </c>
      <c r="U72" s="50" t="s">
        <v>2397</v>
      </c>
      <c r="V72" s="50" t="s">
        <v>2397</v>
      </c>
      <c r="W72" s="50" t="s">
        <v>2397</v>
      </c>
      <c r="X72" s="50" t="s">
        <v>2488</v>
      </c>
      <c r="Y72" s="52" t="s">
        <v>2442</v>
      </c>
      <c r="Z72" s="50" t="s">
        <v>2417</v>
      </c>
      <c r="AA72" s="50" t="s">
        <v>2262</v>
      </c>
      <c r="AB72" s="52" t="s">
        <v>2402</v>
      </c>
      <c r="AC72" s="53" t="s">
        <v>3143</v>
      </c>
      <c r="AD72" s="50" t="s">
        <v>3068</v>
      </c>
      <c r="AE72" s="50" t="s">
        <v>2476</v>
      </c>
      <c r="AF72" s="50" t="s">
        <v>2414</v>
      </c>
      <c r="AG72" s="50" t="s">
        <v>2387</v>
      </c>
      <c r="AH72" s="50" t="s">
        <v>3083</v>
      </c>
      <c r="AI72" s="50" t="s">
        <v>0</v>
      </c>
      <c r="AJ72" s="51" t="s">
        <v>2386</v>
      </c>
      <c r="AK72" s="52" t="s">
        <v>2387</v>
      </c>
      <c r="AL72" s="50" t="s">
        <v>2404</v>
      </c>
      <c r="AM72" s="52" t="s">
        <v>2492</v>
      </c>
      <c r="AN72" s="55" t="s">
        <v>99</v>
      </c>
      <c r="AO72" s="7" t="s">
        <v>0</v>
      </c>
    </row>
    <row r="73" spans="1:41" ht="12.75" customHeight="1" x14ac:dyDescent="0.2">
      <c r="A73" s="21" t="s">
        <v>51</v>
      </c>
      <c r="B73" s="21" t="s">
        <v>1206</v>
      </c>
      <c r="C73" s="21">
        <v>2020</v>
      </c>
      <c r="D73" s="45" t="str">
        <f>HYPERLINK("http://dx.doi.org/10.1021/acs.est.9b06484","http://dx.doi.org/10.1021/acs.est.9b06484")</f>
        <v>http://dx.doi.org/10.1021/acs.est.9b06484</v>
      </c>
      <c r="E73" s="46" t="s">
        <v>3105</v>
      </c>
      <c r="F73" s="43" t="s">
        <v>3376</v>
      </c>
      <c r="G73" s="44" t="s">
        <v>3371</v>
      </c>
      <c r="H73" s="43" t="s">
        <v>3187</v>
      </c>
      <c r="I73" s="47" t="s">
        <v>3448</v>
      </c>
      <c r="J73" s="30" t="s">
        <v>2490</v>
      </c>
      <c r="K73" s="48" t="s">
        <v>2491</v>
      </c>
      <c r="L73" s="50" t="s">
        <v>2385</v>
      </c>
      <c r="M73" s="50" t="s">
        <v>2387</v>
      </c>
      <c r="N73" s="50" t="s">
        <v>2387</v>
      </c>
      <c r="O73" s="50" t="s">
        <v>2952</v>
      </c>
      <c r="P73" s="50" t="s">
        <v>2975</v>
      </c>
      <c r="Q73" s="51" t="s">
        <v>2489</v>
      </c>
      <c r="R73" s="50" t="s">
        <v>2390</v>
      </c>
      <c r="S73" s="50" t="s">
        <v>2385</v>
      </c>
      <c r="T73" s="52" t="s">
        <v>2461</v>
      </c>
      <c r="U73" s="50" t="s">
        <v>2431</v>
      </c>
      <c r="V73" s="50" t="s">
        <v>2432</v>
      </c>
      <c r="W73" s="50" t="s">
        <v>2431</v>
      </c>
      <c r="X73" s="50" t="s">
        <v>2488</v>
      </c>
      <c r="Y73" s="52" t="s">
        <v>2487</v>
      </c>
      <c r="Z73" s="50" t="s">
        <v>2448</v>
      </c>
      <c r="AA73" s="50" t="s">
        <v>3185</v>
      </c>
      <c r="AB73" s="52" t="s">
        <v>2402</v>
      </c>
      <c r="AC73" s="53" t="s">
        <v>3158</v>
      </c>
      <c r="AD73" s="50" t="s">
        <v>2486</v>
      </c>
      <c r="AE73" s="50" t="s">
        <v>2485</v>
      </c>
      <c r="AF73" s="50" t="s">
        <v>2484</v>
      </c>
      <c r="AG73" s="50" t="s">
        <v>2387</v>
      </c>
      <c r="AH73" s="50" t="s">
        <v>3085</v>
      </c>
      <c r="AI73" s="50" t="s">
        <v>3517</v>
      </c>
      <c r="AJ73" s="51" t="s">
        <v>2386</v>
      </c>
      <c r="AK73" s="52" t="s">
        <v>2387</v>
      </c>
      <c r="AL73" s="50" t="s">
        <v>99</v>
      </c>
      <c r="AM73" s="52" t="s">
        <v>99</v>
      </c>
      <c r="AN73" s="55" t="s">
        <v>99</v>
      </c>
      <c r="AO73" s="7" t="s">
        <v>0</v>
      </c>
    </row>
    <row r="74" spans="1:41" ht="12.75" customHeight="1" x14ac:dyDescent="0.2">
      <c r="A74" s="21" t="s">
        <v>115</v>
      </c>
      <c r="B74" s="21" t="s">
        <v>1213</v>
      </c>
      <c r="C74" s="21">
        <v>2018</v>
      </c>
      <c r="D74" s="45" t="str">
        <f>HYPERLINK("http://dx.doi.org/10.1016/j.spc.2018.07.001","http://dx.doi.org/10.1016/j.spc.2018.07.001")</f>
        <v>http://dx.doi.org/10.1016/j.spc.2018.07.001</v>
      </c>
      <c r="E74" s="46" t="s">
        <v>3105</v>
      </c>
      <c r="F74" s="43" t="s">
        <v>3377</v>
      </c>
      <c r="G74" s="44" t="s">
        <v>3382</v>
      </c>
      <c r="H74" s="43" t="s">
        <v>2445</v>
      </c>
      <c r="I74" s="47" t="s">
        <v>3449</v>
      </c>
      <c r="J74" s="30" t="s">
        <v>2483</v>
      </c>
      <c r="K74" s="48" t="s">
        <v>99</v>
      </c>
      <c r="L74" s="50" t="s">
        <v>2385</v>
      </c>
      <c r="M74" s="50" t="s">
        <v>2385</v>
      </c>
      <c r="N74" s="50" t="s">
        <v>2385</v>
      </c>
      <c r="O74" s="50" t="s">
        <v>2399</v>
      </c>
      <c r="P74" s="50" t="s">
        <v>2959</v>
      </c>
      <c r="Q74" s="56" t="s">
        <v>3012</v>
      </c>
      <c r="R74" s="50" t="s">
        <v>2390</v>
      </c>
      <c r="S74" s="50" t="s">
        <v>2385</v>
      </c>
      <c r="T74" s="52" t="s">
        <v>2461</v>
      </c>
      <c r="U74" s="50" t="s">
        <v>2397</v>
      </c>
      <c r="V74" s="50" t="s">
        <v>2397</v>
      </c>
      <c r="W74" s="50" t="s">
        <v>2482</v>
      </c>
      <c r="X74" s="50" t="s">
        <v>2988</v>
      </c>
      <c r="Y74" s="52">
        <v>2060</v>
      </c>
      <c r="Z74" s="50" t="s">
        <v>2441</v>
      </c>
      <c r="AA74" s="50" t="s">
        <v>2262</v>
      </c>
      <c r="AB74" s="52" t="s">
        <v>2402</v>
      </c>
      <c r="AC74" s="53" t="s">
        <v>2481</v>
      </c>
      <c r="AD74" s="50" t="s">
        <v>3053</v>
      </c>
      <c r="AE74" s="50" t="s">
        <v>2456</v>
      </c>
      <c r="AF74" s="50" t="s">
        <v>2414</v>
      </c>
      <c r="AG74" s="50" t="s">
        <v>2387</v>
      </c>
      <c r="AH74" s="50" t="s">
        <v>3103</v>
      </c>
      <c r="AI74" s="50" t="s">
        <v>3531</v>
      </c>
      <c r="AJ74" s="51" t="s">
        <v>2386</v>
      </c>
      <c r="AK74" s="52" t="s">
        <v>2387</v>
      </c>
      <c r="AL74" s="50" t="s">
        <v>99</v>
      </c>
      <c r="AM74" s="52" t="s">
        <v>99</v>
      </c>
      <c r="AN74" s="55" t="s">
        <v>99</v>
      </c>
      <c r="AO74" s="7" t="s">
        <v>0</v>
      </c>
    </row>
    <row r="75" spans="1:41" ht="12.75" customHeight="1" x14ac:dyDescent="0.2">
      <c r="A75" s="21" t="s">
        <v>117</v>
      </c>
      <c r="B75" s="21" t="s">
        <v>470</v>
      </c>
      <c r="C75" s="21">
        <v>2017</v>
      </c>
      <c r="D75" s="45" t="str">
        <f>HYPERLINK("http://dx.doi.org/10.1016/j.enpol.2017.03.026","http://dx.doi.org/10.1016/j.enpol.2017.03.026")</f>
        <v>http://dx.doi.org/10.1016/j.enpol.2017.03.026</v>
      </c>
      <c r="E75" s="46" t="s">
        <v>3104</v>
      </c>
      <c r="F75" s="43" t="s">
        <v>3239</v>
      </c>
      <c r="G75" s="44" t="s">
        <v>3367</v>
      </c>
      <c r="H75" s="43" t="s">
        <v>3181</v>
      </c>
      <c r="I75" s="47" t="s">
        <v>3392</v>
      </c>
      <c r="J75" s="30" t="s">
        <v>2480</v>
      </c>
      <c r="K75" s="48" t="s">
        <v>99</v>
      </c>
      <c r="L75" s="50" t="s">
        <v>2385</v>
      </c>
      <c r="M75" s="50" t="s">
        <v>2385</v>
      </c>
      <c r="N75" s="50" t="s">
        <v>2385</v>
      </c>
      <c r="O75" s="50" t="s">
        <v>2399</v>
      </c>
      <c r="P75" s="50" t="s">
        <v>2959</v>
      </c>
      <c r="Q75" s="51" t="s">
        <v>2479</v>
      </c>
      <c r="R75" s="50" t="s">
        <v>2390</v>
      </c>
      <c r="S75" s="50" t="s">
        <v>2385</v>
      </c>
      <c r="T75" s="52" t="s">
        <v>2461</v>
      </c>
      <c r="U75" s="50" t="s">
        <v>2431</v>
      </c>
      <c r="V75" s="50" t="s">
        <v>2432</v>
      </c>
      <c r="W75" s="50" t="s">
        <v>2431</v>
      </c>
      <c r="X75" s="50">
        <v>2035</v>
      </c>
      <c r="Y75" s="52">
        <v>2035</v>
      </c>
      <c r="Z75" s="50" t="s">
        <v>2441</v>
      </c>
      <c r="AA75" s="50" t="s">
        <v>2478</v>
      </c>
      <c r="AB75" s="52" t="s">
        <v>2402</v>
      </c>
      <c r="AC75" s="53" t="s">
        <v>2477</v>
      </c>
      <c r="AD75" s="50" t="s">
        <v>3053</v>
      </c>
      <c r="AE75" s="50" t="s">
        <v>2476</v>
      </c>
      <c r="AF75" s="50" t="s">
        <v>2388</v>
      </c>
      <c r="AG75" s="50" t="s">
        <v>2387</v>
      </c>
      <c r="AH75" s="50" t="s">
        <v>3103</v>
      </c>
      <c r="AI75" s="50" t="s">
        <v>3518</v>
      </c>
      <c r="AJ75" s="51" t="s">
        <v>2413</v>
      </c>
      <c r="AK75" s="52" t="s">
        <v>2387</v>
      </c>
      <c r="AL75" s="50" t="s">
        <v>99</v>
      </c>
      <c r="AM75" s="52" t="s">
        <v>99</v>
      </c>
      <c r="AN75" s="55" t="s">
        <v>99</v>
      </c>
      <c r="AO75" s="7" t="s">
        <v>0</v>
      </c>
    </row>
    <row r="76" spans="1:41" ht="12.75" customHeight="1" x14ac:dyDescent="0.2">
      <c r="A76" s="21" t="s">
        <v>7</v>
      </c>
      <c r="B76" s="21" t="s">
        <v>1232</v>
      </c>
      <c r="C76" s="21">
        <v>2024</v>
      </c>
      <c r="D76" s="45" t="str">
        <f>HYPERLINK("http://dx.doi.org/10.1039/d3ee03875k","http://dx.doi.org/10.1039/d3ee03875k")</f>
        <v>http://dx.doi.org/10.1039/d3ee03875k</v>
      </c>
      <c r="E76" s="46" t="s">
        <v>3104</v>
      </c>
      <c r="F76" s="43" t="s">
        <v>3245</v>
      </c>
      <c r="G76" s="44" t="s">
        <v>3362</v>
      </c>
      <c r="H76" s="43" t="s">
        <v>3182</v>
      </c>
      <c r="I76" s="47" t="s">
        <v>3385</v>
      </c>
      <c r="J76" s="30" t="s">
        <v>2475</v>
      </c>
      <c r="K76" s="48" t="s">
        <v>2422</v>
      </c>
      <c r="L76" s="50" t="s">
        <v>2387</v>
      </c>
      <c r="M76" s="50" t="s">
        <v>2385</v>
      </c>
      <c r="N76" s="50" t="s">
        <v>2387</v>
      </c>
      <c r="O76" s="50" t="s">
        <v>2952</v>
      </c>
      <c r="P76" s="50" t="s">
        <v>2976</v>
      </c>
      <c r="Q76" s="51" t="s">
        <v>2474</v>
      </c>
      <c r="R76" s="50" t="s">
        <v>2473</v>
      </c>
      <c r="S76" s="50" t="s">
        <v>2387</v>
      </c>
      <c r="T76" s="52" t="s">
        <v>2398</v>
      </c>
      <c r="U76" s="50" t="s">
        <v>2397</v>
      </c>
      <c r="V76" s="50" t="s">
        <v>2397</v>
      </c>
      <c r="W76" s="50" t="s">
        <v>2472</v>
      </c>
      <c r="X76" s="50" t="s">
        <v>2396</v>
      </c>
      <c r="Y76" s="52" t="s">
        <v>2471</v>
      </c>
      <c r="Z76" s="50" t="s">
        <v>2417</v>
      </c>
      <c r="AA76" s="50" t="s">
        <v>2262</v>
      </c>
      <c r="AB76" s="52" t="s">
        <v>2402</v>
      </c>
      <c r="AC76" s="53" t="s">
        <v>3137</v>
      </c>
      <c r="AD76" s="50" t="s">
        <v>3071</v>
      </c>
      <c r="AE76" s="50" t="s">
        <v>2428</v>
      </c>
      <c r="AF76" s="50" t="s">
        <v>2414</v>
      </c>
      <c r="AG76" s="50" t="s">
        <v>2387</v>
      </c>
      <c r="AH76" s="50" t="s">
        <v>3081</v>
      </c>
      <c r="AI76" s="50" t="s">
        <v>3499</v>
      </c>
      <c r="AJ76" s="51" t="s">
        <v>2386</v>
      </c>
      <c r="AK76" s="52" t="s">
        <v>2387</v>
      </c>
      <c r="AL76" s="50" t="s">
        <v>2404</v>
      </c>
      <c r="AM76" s="52" t="s">
        <v>2470</v>
      </c>
      <c r="AN76" s="55" t="s">
        <v>99</v>
      </c>
      <c r="AO76" s="7" t="s">
        <v>0</v>
      </c>
    </row>
    <row r="77" spans="1:41" ht="12.75" customHeight="1" x14ac:dyDescent="0.2">
      <c r="A77" s="21" t="s">
        <v>23</v>
      </c>
      <c r="B77" s="21" t="s">
        <v>317</v>
      </c>
      <c r="C77" s="21">
        <v>2023</v>
      </c>
      <c r="D77" s="45" t="str">
        <f>HYPERLINK("http://dx.doi.org/10.1016/j.ijhydene.2022.11.044","http://dx.doi.org/10.1016/j.ijhydene.2022.11.044")</f>
        <v>http://dx.doi.org/10.1016/j.ijhydene.2022.11.044</v>
      </c>
      <c r="E77" s="46" t="s">
        <v>3098</v>
      </c>
      <c r="F77" s="43" t="s">
        <v>3231</v>
      </c>
      <c r="G77" s="44" t="s">
        <v>3343</v>
      </c>
      <c r="H77" s="43" t="s">
        <v>3182</v>
      </c>
      <c r="I77" s="47" t="s">
        <v>3417</v>
      </c>
      <c r="J77" s="30" t="s">
        <v>2469</v>
      </c>
      <c r="K77" s="48" t="s">
        <v>2422</v>
      </c>
      <c r="L77" s="50" t="s">
        <v>2387</v>
      </c>
      <c r="M77" s="50" t="s">
        <v>2385</v>
      </c>
      <c r="N77" s="50" t="s">
        <v>2385</v>
      </c>
      <c r="O77" s="50" t="s">
        <v>2399</v>
      </c>
      <c r="P77" s="50" t="s">
        <v>2512</v>
      </c>
      <c r="Q77" s="56" t="s">
        <v>3011</v>
      </c>
      <c r="R77" s="50" t="s">
        <v>3003</v>
      </c>
      <c r="S77" s="50" t="s">
        <v>2387</v>
      </c>
      <c r="T77" s="52" t="s">
        <v>2398</v>
      </c>
      <c r="U77" s="50" t="s">
        <v>2397</v>
      </c>
      <c r="V77" s="50" t="s">
        <v>2397</v>
      </c>
      <c r="W77" s="50" t="s">
        <v>2397</v>
      </c>
      <c r="X77" s="50" t="s">
        <v>2396</v>
      </c>
      <c r="Y77" s="52" t="s">
        <v>2468</v>
      </c>
      <c r="Z77" s="50" t="s">
        <v>2417</v>
      </c>
      <c r="AA77" s="50" t="s">
        <v>2262</v>
      </c>
      <c r="AB77" s="52" t="s">
        <v>2402</v>
      </c>
      <c r="AC77" s="52" t="s">
        <v>2467</v>
      </c>
      <c r="AD77" s="50" t="s">
        <v>3053</v>
      </c>
      <c r="AE77" s="50" t="s">
        <v>2428</v>
      </c>
      <c r="AF77" s="50" t="s">
        <v>2388</v>
      </c>
      <c r="AG77" s="50" t="s">
        <v>2387</v>
      </c>
      <c r="AH77" s="50" t="s">
        <v>3081</v>
      </c>
      <c r="AI77" s="50" t="s">
        <v>3499</v>
      </c>
      <c r="AJ77" s="56" t="s">
        <v>2413</v>
      </c>
      <c r="AK77" s="52" t="s">
        <v>2387</v>
      </c>
      <c r="AL77" s="50" t="s">
        <v>2404</v>
      </c>
      <c r="AM77" s="53" t="s">
        <v>2919</v>
      </c>
      <c r="AN77" s="55" t="s">
        <v>99</v>
      </c>
      <c r="AO77" s="7" t="s">
        <v>0</v>
      </c>
    </row>
    <row r="78" spans="1:41" ht="12.75" customHeight="1" x14ac:dyDescent="0.2">
      <c r="A78" s="21" t="s">
        <v>1190</v>
      </c>
      <c r="B78" s="21" t="s">
        <v>1194</v>
      </c>
      <c r="C78" s="21">
        <v>2024</v>
      </c>
      <c r="D78" s="45" t="str">
        <f>HYPERLINK("http://dx.doi.org/10.1016/j.apenergy.2024.123618","http://dx.doi.org/10.1016/j.apenergy.2024.123618")</f>
        <v>http://dx.doi.org/10.1016/j.apenergy.2024.123618</v>
      </c>
      <c r="E78" s="46" t="s">
        <v>3104</v>
      </c>
      <c r="F78" s="43" t="s">
        <v>3240</v>
      </c>
      <c r="G78" s="44" t="s">
        <v>3368</v>
      </c>
      <c r="H78" s="43" t="s">
        <v>3184</v>
      </c>
      <c r="I78" s="47" t="s">
        <v>3484</v>
      </c>
      <c r="J78" s="30" t="s">
        <v>2466</v>
      </c>
      <c r="K78" s="48" t="s">
        <v>2927</v>
      </c>
      <c r="L78" s="50" t="s">
        <v>2387</v>
      </c>
      <c r="M78" s="50" t="s">
        <v>2385</v>
      </c>
      <c r="N78" s="50" t="s">
        <v>2387</v>
      </c>
      <c r="O78" s="50" t="s">
        <v>2399</v>
      </c>
      <c r="P78" s="50" t="s">
        <v>2963</v>
      </c>
      <c r="Q78" s="59" t="s">
        <v>3028</v>
      </c>
      <c r="R78" s="50" t="s">
        <v>2465</v>
      </c>
      <c r="S78" s="50" t="s">
        <v>2387</v>
      </c>
      <c r="T78" s="52" t="s">
        <v>2461</v>
      </c>
      <c r="U78" s="50" t="s">
        <v>2431</v>
      </c>
      <c r="V78" s="50" t="s">
        <v>2464</v>
      </c>
      <c r="W78" s="50" t="s">
        <v>2431</v>
      </c>
      <c r="X78" s="50" t="s">
        <v>2463</v>
      </c>
      <c r="Y78" s="52" t="s">
        <v>2442</v>
      </c>
      <c r="Z78" s="50" t="s">
        <v>2448</v>
      </c>
      <c r="AA78" s="50" t="s">
        <v>3186</v>
      </c>
      <c r="AB78" s="52" t="s">
        <v>2402</v>
      </c>
      <c r="AC78" s="53" t="s">
        <v>3154</v>
      </c>
      <c r="AD78" s="50" t="s">
        <v>3053</v>
      </c>
      <c r="AE78" s="50" t="s">
        <v>2428</v>
      </c>
      <c r="AF78" s="50" t="s">
        <v>2388</v>
      </c>
      <c r="AG78" s="50" t="s">
        <v>2387</v>
      </c>
      <c r="AH78" s="50" t="s">
        <v>3081</v>
      </c>
      <c r="AI78" s="50" t="s">
        <v>3519</v>
      </c>
      <c r="AJ78" s="51" t="s">
        <v>2386</v>
      </c>
      <c r="AK78" s="52" t="s">
        <v>2385</v>
      </c>
      <c r="AL78" s="50" t="s">
        <v>99</v>
      </c>
      <c r="AM78" s="52" t="s">
        <v>99</v>
      </c>
      <c r="AN78" s="55" t="s">
        <v>99</v>
      </c>
      <c r="AO78" s="7" t="s">
        <v>0</v>
      </c>
    </row>
    <row r="79" spans="1:41" ht="12.75" customHeight="1" x14ac:dyDescent="0.2">
      <c r="A79" s="21" t="s">
        <v>114</v>
      </c>
      <c r="B79" s="21" t="s">
        <v>1209</v>
      </c>
      <c r="C79" s="21">
        <v>2020</v>
      </c>
      <c r="D79" s="45" t="str">
        <f>HYPERLINK("http://dx.doi.org/10.1016/j.jclepro.2019.118614","http://dx.doi.org/10.1016/j.jclepro.2019.118614")</f>
        <v>http://dx.doi.org/10.1016/j.jclepro.2019.118614</v>
      </c>
      <c r="E79" s="46" t="s">
        <v>3104</v>
      </c>
      <c r="F79" s="43" t="s">
        <v>3246</v>
      </c>
      <c r="G79" s="44" t="s">
        <v>3485</v>
      </c>
      <c r="H79" s="43" t="s">
        <v>3181</v>
      </c>
      <c r="I79" s="47" t="s">
        <v>3450</v>
      </c>
      <c r="J79" s="30" t="s">
        <v>2518</v>
      </c>
      <c r="K79" s="48" t="s">
        <v>2462</v>
      </c>
      <c r="L79" s="50" t="s">
        <v>2385</v>
      </c>
      <c r="M79" s="50" t="s">
        <v>2385</v>
      </c>
      <c r="N79" s="50" t="s">
        <v>2387</v>
      </c>
      <c r="O79" s="50" t="s">
        <v>2399</v>
      </c>
      <c r="P79" s="50" t="s">
        <v>2959</v>
      </c>
      <c r="Q79" s="59" t="s">
        <v>3023</v>
      </c>
      <c r="R79" s="50" t="s">
        <v>2390</v>
      </c>
      <c r="S79" s="50" t="s">
        <v>2385</v>
      </c>
      <c r="T79" s="52" t="s">
        <v>2461</v>
      </c>
      <c r="U79" s="50" t="s">
        <v>2460</v>
      </c>
      <c r="V79" s="50" t="s">
        <v>2459</v>
      </c>
      <c r="W79" s="50" t="s">
        <v>2459</v>
      </c>
      <c r="X79" s="50" t="s">
        <v>2989</v>
      </c>
      <c r="Y79" s="52">
        <v>2050</v>
      </c>
      <c r="Z79" s="50" t="s">
        <v>2441</v>
      </c>
      <c r="AA79" s="50" t="s">
        <v>2458</v>
      </c>
      <c r="AB79" s="52" t="s">
        <v>2402</v>
      </c>
      <c r="AC79" s="53" t="s">
        <v>2457</v>
      </c>
      <c r="AD79" s="50" t="s">
        <v>3053</v>
      </c>
      <c r="AE79" s="50" t="s">
        <v>2456</v>
      </c>
      <c r="AF79" s="50" t="s">
        <v>2388</v>
      </c>
      <c r="AG79" s="50" t="s">
        <v>2387</v>
      </c>
      <c r="AH79" s="50" t="s">
        <v>2455</v>
      </c>
      <c r="AI79" s="50" t="s">
        <v>3520</v>
      </c>
      <c r="AJ79" s="51" t="s">
        <v>2386</v>
      </c>
      <c r="AK79" s="63" t="s">
        <v>2387</v>
      </c>
      <c r="AL79" s="50" t="s">
        <v>99</v>
      </c>
      <c r="AM79" s="52" t="s">
        <v>99</v>
      </c>
      <c r="AN79" s="55" t="s">
        <v>99</v>
      </c>
      <c r="AO79" s="7" t="s">
        <v>0</v>
      </c>
    </row>
    <row r="80" spans="1:41" ht="12.75" customHeight="1" x14ac:dyDescent="0.2">
      <c r="A80" s="21" t="s">
        <v>2271</v>
      </c>
      <c r="B80" s="21" t="s">
        <v>2268</v>
      </c>
      <c r="C80" s="21">
        <v>2023</v>
      </c>
      <c r="D80" s="45" t="str">
        <f>HYPERLINK("http://dx.doi.org/10.1016/j.trd.2023.103725","http://dx.doi.org/10.1016/j.trd.2023.103725")</f>
        <v>http://dx.doi.org/10.1016/j.trd.2023.103725</v>
      </c>
      <c r="E80" s="46" t="s">
        <v>3097</v>
      </c>
      <c r="F80" s="43" t="s">
        <v>3214</v>
      </c>
      <c r="G80" s="44" t="s">
        <v>3486</v>
      </c>
      <c r="H80" s="43" t="s">
        <v>3187</v>
      </c>
      <c r="I80" s="47" t="s">
        <v>3477</v>
      </c>
      <c r="J80" s="30" t="s">
        <v>2946</v>
      </c>
      <c r="K80" s="48" t="s">
        <v>2454</v>
      </c>
      <c r="L80" s="50" t="s">
        <v>2385</v>
      </c>
      <c r="M80" s="50" t="s">
        <v>2385</v>
      </c>
      <c r="N80" s="50" t="s">
        <v>2387</v>
      </c>
      <c r="O80" s="50" t="s">
        <v>2399</v>
      </c>
      <c r="P80" s="50" t="s">
        <v>2959</v>
      </c>
      <c r="Q80" s="51" t="s">
        <v>2453</v>
      </c>
      <c r="R80" s="50" t="s">
        <v>2390</v>
      </c>
      <c r="S80" s="50" t="s">
        <v>2385</v>
      </c>
      <c r="T80" s="52" t="s">
        <v>2440</v>
      </c>
      <c r="U80" s="50" t="s">
        <v>2431</v>
      </c>
      <c r="V80" s="50" t="s">
        <v>2444</v>
      </c>
      <c r="W80" s="50" t="s">
        <v>2431</v>
      </c>
      <c r="X80" s="50" t="s">
        <v>3001</v>
      </c>
      <c r="Y80" s="52" t="s">
        <v>2395</v>
      </c>
      <c r="Z80" s="50" t="s">
        <v>2448</v>
      </c>
      <c r="AA80" s="50" t="s">
        <v>2452</v>
      </c>
      <c r="AB80" s="52" t="s">
        <v>2402</v>
      </c>
      <c r="AC80" s="53" t="s">
        <v>3170</v>
      </c>
      <c r="AD80" s="50" t="s">
        <v>3053</v>
      </c>
      <c r="AE80" s="50" t="s">
        <v>99</v>
      </c>
      <c r="AF80" s="50" t="s">
        <v>2288</v>
      </c>
      <c r="AG80" s="50" t="s">
        <v>2385</v>
      </c>
      <c r="AH80" s="50" t="s">
        <v>3088</v>
      </c>
      <c r="AI80" s="50" t="s">
        <v>0</v>
      </c>
      <c r="AJ80" s="51" t="s">
        <v>2386</v>
      </c>
      <c r="AK80" s="52" t="s">
        <v>2385</v>
      </c>
      <c r="AL80" s="50" t="s">
        <v>2404</v>
      </c>
      <c r="AM80" s="53" t="s">
        <v>2920</v>
      </c>
      <c r="AN80" s="55" t="s">
        <v>99</v>
      </c>
      <c r="AO80" s="7" t="s">
        <v>0</v>
      </c>
    </row>
    <row r="81" spans="1:41" ht="12.75" customHeight="1" x14ac:dyDescent="0.2">
      <c r="A81" s="21" t="s">
        <v>27</v>
      </c>
      <c r="B81" s="21" t="s">
        <v>1236</v>
      </c>
      <c r="C81" s="21">
        <v>2022</v>
      </c>
      <c r="D81" s="45" t="str">
        <f>HYPERLINK("http://dx.doi.org/10.1016/j.apenergy.2021.118060","http://dx.doi.org/10.1016/j.apenergy.2021.118060")</f>
        <v>http://dx.doi.org/10.1016/j.apenergy.2021.118060</v>
      </c>
      <c r="E81" s="46" t="s">
        <v>3097</v>
      </c>
      <c r="F81" s="43" t="s">
        <v>3203</v>
      </c>
      <c r="G81" s="44" t="s">
        <v>3352</v>
      </c>
      <c r="H81" s="43" t="s">
        <v>3187</v>
      </c>
      <c r="I81" s="47" t="s">
        <v>0</v>
      </c>
      <c r="J81" s="30" t="s">
        <v>2451</v>
      </c>
      <c r="K81" s="48" t="s">
        <v>99</v>
      </c>
      <c r="L81" s="50" t="s">
        <v>2387</v>
      </c>
      <c r="M81" s="50" t="s">
        <v>2385</v>
      </c>
      <c r="N81" s="50" t="s">
        <v>2387</v>
      </c>
      <c r="O81" s="50" t="s">
        <v>2399</v>
      </c>
      <c r="P81" s="50" t="s">
        <v>2512</v>
      </c>
      <c r="Q81" s="56" t="s">
        <v>2450</v>
      </c>
      <c r="R81" s="50" t="s">
        <v>2390</v>
      </c>
      <c r="S81" s="50" t="s">
        <v>2385</v>
      </c>
      <c r="T81" s="52" t="s">
        <v>3249</v>
      </c>
      <c r="U81" s="50" t="s">
        <v>2431</v>
      </c>
      <c r="V81" s="50" t="s">
        <v>2449</v>
      </c>
      <c r="W81" s="50" t="s">
        <v>2431</v>
      </c>
      <c r="X81" s="50" t="s">
        <v>2425</v>
      </c>
      <c r="Y81" s="52" t="s">
        <v>2395</v>
      </c>
      <c r="Z81" s="50" t="s">
        <v>2448</v>
      </c>
      <c r="AA81" s="50" t="s">
        <v>2447</v>
      </c>
      <c r="AB81" s="52" t="s">
        <v>2446</v>
      </c>
      <c r="AC81" s="53" t="s">
        <v>3138</v>
      </c>
      <c r="AD81" s="50" t="s">
        <v>3053</v>
      </c>
      <c r="AE81" s="50" t="s">
        <v>2389</v>
      </c>
      <c r="AF81" s="50" t="s">
        <v>2414</v>
      </c>
      <c r="AG81" s="50" t="s">
        <v>2387</v>
      </c>
      <c r="AH81" s="50" t="s">
        <v>3083</v>
      </c>
      <c r="AI81" s="50" t="s">
        <v>3516</v>
      </c>
      <c r="AJ81" s="51" t="s">
        <v>2386</v>
      </c>
      <c r="AK81" s="52" t="s">
        <v>2385</v>
      </c>
      <c r="AL81" s="50" t="s">
        <v>99</v>
      </c>
      <c r="AM81" s="52" t="s">
        <v>99</v>
      </c>
      <c r="AN81" s="55" t="s">
        <v>99</v>
      </c>
      <c r="AO81" s="7" t="s">
        <v>0</v>
      </c>
    </row>
    <row r="82" spans="1:41" ht="12.75" customHeight="1" x14ac:dyDescent="0.2">
      <c r="A82" s="21" t="s">
        <v>1559</v>
      </c>
      <c r="B82" s="21" t="s">
        <v>1777</v>
      </c>
      <c r="C82" s="21">
        <v>2018</v>
      </c>
      <c r="D82" s="45" t="str">
        <f>HYPERLINK("http://dx.doi.org/10.1016/j.apenergy.2018.03.073","http://dx.doi.org/10.1016/j.apenergy.2018.03.073")</f>
        <v>http://dx.doi.org/10.1016/j.apenergy.2018.03.073</v>
      </c>
      <c r="E82" s="46" t="s">
        <v>3097</v>
      </c>
      <c r="F82" s="43" t="s">
        <v>3212</v>
      </c>
      <c r="G82" s="44" t="s">
        <v>3330</v>
      </c>
      <c r="H82" s="43" t="s">
        <v>2445</v>
      </c>
      <c r="I82" s="47" t="s">
        <v>3401</v>
      </c>
      <c r="J82" s="30" t="s">
        <v>2505</v>
      </c>
      <c r="K82" s="48" t="s">
        <v>99</v>
      </c>
      <c r="L82" s="50" t="s">
        <v>2385</v>
      </c>
      <c r="M82" s="50" t="s">
        <v>2385</v>
      </c>
      <c r="N82" s="50" t="s">
        <v>2387</v>
      </c>
      <c r="O82" s="50" t="s">
        <v>2962</v>
      </c>
      <c r="P82" s="50" t="s">
        <v>2959</v>
      </c>
      <c r="Q82" s="51" t="s">
        <v>3026</v>
      </c>
      <c r="R82" s="50" t="s">
        <v>2390</v>
      </c>
      <c r="S82" s="50" t="s">
        <v>2385</v>
      </c>
      <c r="T82" s="52" t="s">
        <v>2440</v>
      </c>
      <c r="U82" s="50" t="s">
        <v>2431</v>
      </c>
      <c r="V82" s="50" t="s">
        <v>2444</v>
      </c>
      <c r="W82" s="50" t="s">
        <v>2431</v>
      </c>
      <c r="X82" s="50" t="s">
        <v>2443</v>
      </c>
      <c r="Y82" s="52" t="s">
        <v>2442</v>
      </c>
      <c r="Z82" s="50" t="s">
        <v>2441</v>
      </c>
      <c r="AA82" s="50" t="s">
        <v>2262</v>
      </c>
      <c r="AB82" s="52" t="s">
        <v>2402</v>
      </c>
      <c r="AC82" s="53" t="s">
        <v>3139</v>
      </c>
      <c r="AD82" s="50" t="s">
        <v>3053</v>
      </c>
      <c r="AE82" s="50" t="s">
        <v>99</v>
      </c>
      <c r="AF82" s="50" t="s">
        <v>2288</v>
      </c>
      <c r="AG82" s="50" t="s">
        <v>2385</v>
      </c>
      <c r="AH82" s="50" t="s">
        <v>3084</v>
      </c>
      <c r="AI82" s="50" t="s">
        <v>0</v>
      </c>
      <c r="AJ82" s="51" t="s">
        <v>2386</v>
      </c>
      <c r="AK82" s="52" t="s">
        <v>2385</v>
      </c>
      <c r="AL82" s="50" t="s">
        <v>99</v>
      </c>
      <c r="AM82" s="52" t="s">
        <v>99</v>
      </c>
      <c r="AN82" s="55" t="s">
        <v>99</v>
      </c>
      <c r="AO82" s="7" t="s">
        <v>0</v>
      </c>
    </row>
    <row r="83" spans="1:41" ht="12.75" customHeight="1" x14ac:dyDescent="0.2">
      <c r="A83" s="21" t="s">
        <v>2320</v>
      </c>
      <c r="B83" s="21" t="s">
        <v>2321</v>
      </c>
      <c r="C83" s="21">
        <v>2023</v>
      </c>
      <c r="D83" s="45" t="str">
        <f>HYPERLINK("http://dx.doi.org/10.1038/s41467-023-37373-4","http://dx.doi.org/10.1038/s41467-023-37373-4")</f>
        <v>http://dx.doi.org/10.1038/s41467-023-37373-4</v>
      </c>
      <c r="E83" s="46" t="s">
        <v>3098</v>
      </c>
      <c r="F83" s="43" t="s">
        <v>3234</v>
      </c>
      <c r="G83" s="44" t="s">
        <v>3344</v>
      </c>
      <c r="H83" s="43" t="s">
        <v>3182</v>
      </c>
      <c r="I83" s="47" t="s">
        <v>3441</v>
      </c>
      <c r="J83" s="30" t="s">
        <v>99</v>
      </c>
      <c r="K83" s="48" t="s">
        <v>99</v>
      </c>
      <c r="L83" s="50" t="s">
        <v>2387</v>
      </c>
      <c r="M83" s="50" t="s">
        <v>2385</v>
      </c>
      <c r="N83" s="50" t="s">
        <v>2385</v>
      </c>
      <c r="O83" s="50" t="s">
        <v>2399</v>
      </c>
      <c r="P83" s="50" t="s">
        <v>2512</v>
      </c>
      <c r="Q83" s="51" t="s">
        <v>2390</v>
      </c>
      <c r="R83" s="50" t="s">
        <v>2390</v>
      </c>
      <c r="S83" s="50" t="s">
        <v>2385</v>
      </c>
      <c r="T83" s="52" t="s">
        <v>2440</v>
      </c>
      <c r="U83" s="50" t="s">
        <v>2439</v>
      </c>
      <c r="V83" s="50" t="s">
        <v>2439</v>
      </c>
      <c r="W83" s="54" t="s">
        <v>2438</v>
      </c>
      <c r="X83" s="50" t="s">
        <v>2437</v>
      </c>
      <c r="Y83" s="52" t="s">
        <v>2395</v>
      </c>
      <c r="Z83" s="54" t="s">
        <v>2417</v>
      </c>
      <c r="AA83" s="54" t="s">
        <v>2436</v>
      </c>
      <c r="AB83" s="47" t="s">
        <v>2435</v>
      </c>
      <c r="AC83" s="53" t="s">
        <v>3140</v>
      </c>
      <c r="AD83" s="50" t="s">
        <v>3053</v>
      </c>
      <c r="AE83" s="50" t="s">
        <v>2428</v>
      </c>
      <c r="AF83" s="50" t="s">
        <v>2414</v>
      </c>
      <c r="AG83" s="50" t="s">
        <v>2387</v>
      </c>
      <c r="AH83" s="50" t="s">
        <v>3081</v>
      </c>
      <c r="AI83" s="50" t="s">
        <v>3521</v>
      </c>
      <c r="AJ83" s="56" t="s">
        <v>2386</v>
      </c>
      <c r="AK83" s="52" t="s">
        <v>2385</v>
      </c>
      <c r="AL83" s="50" t="s">
        <v>2404</v>
      </c>
      <c r="AM83" s="52" t="s">
        <v>2434</v>
      </c>
      <c r="AN83" s="55" t="s">
        <v>99</v>
      </c>
      <c r="AO83" s="7" t="s">
        <v>0</v>
      </c>
    </row>
    <row r="84" spans="1:41" ht="12.75" customHeight="1" x14ac:dyDescent="0.2">
      <c r="A84" s="21" t="s">
        <v>303</v>
      </c>
      <c r="B84" s="21" t="s">
        <v>302</v>
      </c>
      <c r="C84" s="21">
        <v>2024</v>
      </c>
      <c r="D84" s="45" t="str">
        <f>HYPERLINK("http://dx.doi.org/10.1016/j.enbuild.2023.113824","http://dx.doi.org/10.1016/j.enbuild.2023.113824")</f>
        <v>http://dx.doi.org/10.1016/j.enbuild.2023.113824</v>
      </c>
      <c r="E84" s="46" t="s">
        <v>3097</v>
      </c>
      <c r="F84" s="43" t="s">
        <v>3205</v>
      </c>
      <c r="G84" s="44" t="s">
        <v>3337</v>
      </c>
      <c r="H84" s="43" t="s">
        <v>3180</v>
      </c>
      <c r="I84" s="47" t="s">
        <v>3418</v>
      </c>
      <c r="J84" s="30" t="s">
        <v>2947</v>
      </c>
      <c r="K84" s="48" t="s">
        <v>2422</v>
      </c>
      <c r="L84" s="50" t="s">
        <v>2387</v>
      </c>
      <c r="M84" s="50" t="s">
        <v>2387</v>
      </c>
      <c r="N84" s="50" t="s">
        <v>2387</v>
      </c>
      <c r="O84" s="50" t="s">
        <v>2433</v>
      </c>
      <c r="P84" s="50" t="s">
        <v>2972</v>
      </c>
      <c r="Q84" s="51" t="s">
        <v>2390</v>
      </c>
      <c r="R84" s="50" t="s">
        <v>2390</v>
      </c>
      <c r="S84" s="50" t="s">
        <v>2385</v>
      </c>
      <c r="T84" s="52" t="s">
        <v>3249</v>
      </c>
      <c r="U84" s="50" t="s">
        <v>2431</v>
      </c>
      <c r="V84" s="50" t="s">
        <v>2432</v>
      </c>
      <c r="W84" s="50" t="s">
        <v>2431</v>
      </c>
      <c r="X84" s="50" t="s">
        <v>2430</v>
      </c>
      <c r="Y84" s="52" t="s">
        <v>2395</v>
      </c>
      <c r="Z84" s="50" t="s">
        <v>2394</v>
      </c>
      <c r="AA84" s="50" t="s">
        <v>2429</v>
      </c>
      <c r="AB84" s="52" t="s">
        <v>2402</v>
      </c>
      <c r="AC84" s="53" t="s">
        <v>3155</v>
      </c>
      <c r="AD84" s="50" t="s">
        <v>3053</v>
      </c>
      <c r="AE84" s="50" t="s">
        <v>2428</v>
      </c>
      <c r="AF84" s="50" t="s">
        <v>2414</v>
      </c>
      <c r="AG84" s="50" t="s">
        <v>2387</v>
      </c>
      <c r="AH84" s="50" t="s">
        <v>3081</v>
      </c>
      <c r="AI84" s="50" t="s">
        <v>3528</v>
      </c>
      <c r="AJ84" s="51" t="s">
        <v>2386</v>
      </c>
      <c r="AK84" s="52" t="s">
        <v>2385</v>
      </c>
      <c r="AL84" s="50" t="s">
        <v>99</v>
      </c>
      <c r="AM84" s="52" t="s">
        <v>99</v>
      </c>
      <c r="AN84" s="55" t="s">
        <v>99</v>
      </c>
      <c r="AO84" s="7" t="s">
        <v>0</v>
      </c>
    </row>
    <row r="85" spans="1:41" ht="12.75" customHeight="1" x14ac:dyDescent="0.2">
      <c r="A85" s="21" t="s">
        <v>2338</v>
      </c>
      <c r="B85" s="21" t="s">
        <v>2339</v>
      </c>
      <c r="C85" s="21">
        <v>2019</v>
      </c>
      <c r="D85" s="45" t="str">
        <f>HYPERLINK("http://dx.doi.org/10.1038/s41558-019-0459-z","http://dx.doi.org/10.1038/s41558-019-0459-z")</f>
        <v>http://dx.doi.org/10.1038/s41558-019-0459-z</v>
      </c>
      <c r="E85" s="46" t="s">
        <v>3098</v>
      </c>
      <c r="F85" s="43" t="s">
        <v>3229</v>
      </c>
      <c r="G85" s="44" t="s">
        <v>3353</v>
      </c>
      <c r="H85" s="43" t="s">
        <v>3189</v>
      </c>
      <c r="I85" s="47" t="s">
        <v>3412</v>
      </c>
      <c r="J85" s="30" t="s">
        <v>2426</v>
      </c>
      <c r="K85" s="48" t="s">
        <v>2427</v>
      </c>
      <c r="L85" s="50" t="s">
        <v>2385</v>
      </c>
      <c r="M85" s="50" t="s">
        <v>2385</v>
      </c>
      <c r="N85" s="50" t="s">
        <v>2387</v>
      </c>
      <c r="O85" s="50" t="s">
        <v>2399</v>
      </c>
      <c r="P85" s="50" t="s">
        <v>2959</v>
      </c>
      <c r="Q85" s="51" t="s">
        <v>2390</v>
      </c>
      <c r="R85" s="50" t="s">
        <v>2390</v>
      </c>
      <c r="S85" s="50" t="s">
        <v>2385</v>
      </c>
      <c r="T85" s="52" t="s">
        <v>2398</v>
      </c>
      <c r="U85" s="50" t="s">
        <v>2397</v>
      </c>
      <c r="V85" s="50" t="s">
        <v>2397</v>
      </c>
      <c r="W85" s="50" t="s">
        <v>2397</v>
      </c>
      <c r="X85" s="50" t="s">
        <v>2425</v>
      </c>
      <c r="Y85" s="52" t="s">
        <v>2395</v>
      </c>
      <c r="Z85" s="50" t="s">
        <v>2394</v>
      </c>
      <c r="AA85" s="50" t="s">
        <v>3051</v>
      </c>
      <c r="AB85" s="47" t="s">
        <v>2424</v>
      </c>
      <c r="AC85" s="53" t="s">
        <v>3141</v>
      </c>
      <c r="AD85" s="50" t="s">
        <v>3411</v>
      </c>
      <c r="AE85" s="50" t="s">
        <v>2423</v>
      </c>
      <c r="AF85" s="50" t="s">
        <v>2388</v>
      </c>
      <c r="AG85" s="50" t="s">
        <v>2387</v>
      </c>
      <c r="AH85" s="50" t="s">
        <v>3083</v>
      </c>
      <c r="AI85" s="50" t="s">
        <v>0</v>
      </c>
      <c r="AJ85" s="51" t="s">
        <v>2386</v>
      </c>
      <c r="AK85" s="52" t="s">
        <v>2385</v>
      </c>
      <c r="AL85" s="50" t="s">
        <v>99</v>
      </c>
      <c r="AM85" s="52" t="s">
        <v>99</v>
      </c>
      <c r="AN85" s="55" t="s">
        <v>99</v>
      </c>
      <c r="AO85" s="7" t="s">
        <v>0</v>
      </c>
    </row>
    <row r="86" spans="1:41" ht="12.75" customHeight="1" x14ac:dyDescent="0.2">
      <c r="A86" s="21" t="s">
        <v>47</v>
      </c>
      <c r="B86" s="21" t="s">
        <v>1235</v>
      </c>
      <c r="C86" s="21">
        <v>2021</v>
      </c>
      <c r="D86" s="45" t="str">
        <f>HYPERLINK("http://dx.doi.org/10.1038/s41467-021-26212-z","http://dx.doi.org/10.1038/s41467-021-26212-z")</f>
        <v>http://dx.doi.org/10.1038/s41467-021-26212-z</v>
      </c>
      <c r="E86" s="46" t="s">
        <v>3097</v>
      </c>
      <c r="F86" s="43" t="s">
        <v>3207</v>
      </c>
      <c r="G86" s="44" t="s">
        <v>3332</v>
      </c>
      <c r="H86" s="43" t="s">
        <v>3182</v>
      </c>
      <c r="I86" s="47" t="s">
        <v>3408</v>
      </c>
      <c r="J86" s="30" t="s">
        <v>2421</v>
      </c>
      <c r="K86" s="48" t="s">
        <v>2422</v>
      </c>
      <c r="L86" s="50" t="s">
        <v>2387</v>
      </c>
      <c r="M86" s="50" t="s">
        <v>2387</v>
      </c>
      <c r="N86" s="50" t="s">
        <v>2387</v>
      </c>
      <c r="O86" s="50" t="s">
        <v>2953</v>
      </c>
      <c r="P86" s="50" t="s">
        <v>2420</v>
      </c>
      <c r="Q86" s="51" t="s">
        <v>2419</v>
      </c>
      <c r="R86" s="50" t="s">
        <v>2390</v>
      </c>
      <c r="S86" s="50" t="s">
        <v>2385</v>
      </c>
      <c r="T86" s="52" t="s">
        <v>3249</v>
      </c>
      <c r="U86" s="50" t="s">
        <v>2397</v>
      </c>
      <c r="V86" s="50" t="s">
        <v>2397</v>
      </c>
      <c r="W86" s="50" t="s">
        <v>3048</v>
      </c>
      <c r="X86" s="50" t="s">
        <v>2418</v>
      </c>
      <c r="Y86" s="52" t="s">
        <v>2395</v>
      </c>
      <c r="Z86" s="50" t="s">
        <v>2417</v>
      </c>
      <c r="AA86" s="50" t="s">
        <v>2416</v>
      </c>
      <c r="AB86" s="52" t="s">
        <v>2402</v>
      </c>
      <c r="AC86" s="53" t="s">
        <v>2415</v>
      </c>
      <c r="AD86" s="50" t="s">
        <v>3053</v>
      </c>
      <c r="AE86" s="50" t="s">
        <v>2389</v>
      </c>
      <c r="AF86" s="50" t="s">
        <v>2414</v>
      </c>
      <c r="AG86" s="50" t="s">
        <v>2387</v>
      </c>
      <c r="AH86" s="50" t="s">
        <v>3083</v>
      </c>
      <c r="AI86" s="50" t="s">
        <v>3522</v>
      </c>
      <c r="AJ86" s="51" t="s">
        <v>2386</v>
      </c>
      <c r="AK86" s="52" t="s">
        <v>2385</v>
      </c>
      <c r="AL86" s="50" t="s">
        <v>2404</v>
      </c>
      <c r="AM86" s="52" t="s">
        <v>2412</v>
      </c>
      <c r="AN86" s="55" t="s">
        <v>99</v>
      </c>
      <c r="AO86" s="7" t="s">
        <v>0</v>
      </c>
    </row>
    <row r="87" spans="1:41" ht="12.75" customHeight="1" x14ac:dyDescent="0.2">
      <c r="A87" s="21" t="s">
        <v>2324</v>
      </c>
      <c r="B87" s="21" t="s">
        <v>2323</v>
      </c>
      <c r="C87" s="21">
        <v>2022</v>
      </c>
      <c r="D87" s="45" t="s">
        <v>2403</v>
      </c>
      <c r="E87" s="46" t="s">
        <v>3098</v>
      </c>
      <c r="F87" s="44" t="s">
        <v>3225</v>
      </c>
      <c r="G87" s="44" t="s">
        <v>3453</v>
      </c>
      <c r="H87" s="43" t="s">
        <v>3189</v>
      </c>
      <c r="I87" s="47" t="s">
        <v>3447</v>
      </c>
      <c r="J87" s="30" t="s">
        <v>2400</v>
      </c>
      <c r="K87" s="48" t="s">
        <v>2401</v>
      </c>
      <c r="L87" s="50" t="s">
        <v>2387</v>
      </c>
      <c r="M87" s="50" t="s">
        <v>2385</v>
      </c>
      <c r="N87" s="50" t="s">
        <v>2387</v>
      </c>
      <c r="O87" s="50" t="s">
        <v>2399</v>
      </c>
      <c r="P87" s="50" t="s">
        <v>2963</v>
      </c>
      <c r="Q87" s="51" t="s">
        <v>2390</v>
      </c>
      <c r="R87" s="50" t="s">
        <v>2390</v>
      </c>
      <c r="S87" s="50" t="s">
        <v>2385</v>
      </c>
      <c r="T87" s="52" t="s">
        <v>2398</v>
      </c>
      <c r="U87" s="50" t="s">
        <v>2397</v>
      </c>
      <c r="V87" s="50" t="s">
        <v>2397</v>
      </c>
      <c r="W87" s="50" t="s">
        <v>2397</v>
      </c>
      <c r="X87" s="50" t="s">
        <v>2396</v>
      </c>
      <c r="Y87" s="52" t="s">
        <v>2395</v>
      </c>
      <c r="Z87" s="50" t="s">
        <v>2394</v>
      </c>
      <c r="AA87" s="50" t="s">
        <v>2393</v>
      </c>
      <c r="AB87" s="47" t="s">
        <v>2392</v>
      </c>
      <c r="AC87" s="53" t="s">
        <v>2391</v>
      </c>
      <c r="AD87" s="50" t="s">
        <v>3053</v>
      </c>
      <c r="AE87" s="50" t="s">
        <v>2389</v>
      </c>
      <c r="AF87" s="50" t="s">
        <v>2388</v>
      </c>
      <c r="AG87" s="50" t="s">
        <v>2387</v>
      </c>
      <c r="AH87" s="50" t="s">
        <v>3083</v>
      </c>
      <c r="AI87" s="50" t="s">
        <v>0</v>
      </c>
      <c r="AJ87" s="51" t="s">
        <v>2386</v>
      </c>
      <c r="AK87" s="52" t="s">
        <v>2385</v>
      </c>
      <c r="AL87" s="50" t="s">
        <v>99</v>
      </c>
      <c r="AM87" s="53" t="s">
        <v>99</v>
      </c>
      <c r="AN87" s="55" t="s">
        <v>99</v>
      </c>
      <c r="AO87" s="7" t="s">
        <v>0</v>
      </c>
    </row>
    <row r="88" spans="1:41" ht="12.75" customHeight="1" x14ac:dyDescent="0.2">
      <c r="A88" s="21" t="s">
        <v>2328</v>
      </c>
      <c r="B88" s="21" t="s">
        <v>2323</v>
      </c>
      <c r="C88" s="21">
        <v>2024</v>
      </c>
      <c r="D88" s="45" t="s">
        <v>2411</v>
      </c>
      <c r="E88" s="46" t="s">
        <v>3098</v>
      </c>
      <c r="F88" s="44" t="s">
        <v>3225</v>
      </c>
      <c r="G88" s="44" t="s">
        <v>3453</v>
      </c>
      <c r="H88" s="43" t="s">
        <v>3189</v>
      </c>
      <c r="I88" s="47" t="s">
        <v>3445</v>
      </c>
      <c r="J88" s="30" t="s">
        <v>2409</v>
      </c>
      <c r="K88" s="48" t="s">
        <v>2410</v>
      </c>
      <c r="L88" s="50" t="s">
        <v>2387</v>
      </c>
      <c r="M88" s="50" t="s">
        <v>2385</v>
      </c>
      <c r="N88" s="50" t="s">
        <v>2387</v>
      </c>
      <c r="O88" s="50" t="s">
        <v>2399</v>
      </c>
      <c r="P88" s="50" t="s">
        <v>2512</v>
      </c>
      <c r="Q88" s="56" t="s">
        <v>2408</v>
      </c>
      <c r="R88" s="50" t="s">
        <v>2407</v>
      </c>
      <c r="S88" s="50" t="s">
        <v>2387</v>
      </c>
      <c r="T88" s="52" t="s">
        <v>2398</v>
      </c>
      <c r="U88" s="50" t="s">
        <v>2397</v>
      </c>
      <c r="V88" s="50" t="s">
        <v>2397</v>
      </c>
      <c r="W88" s="50" t="s">
        <v>2397</v>
      </c>
      <c r="X88" s="50" t="s">
        <v>2396</v>
      </c>
      <c r="Y88" s="52" t="s">
        <v>2395</v>
      </c>
      <c r="Z88" s="50" t="s">
        <v>2394</v>
      </c>
      <c r="AA88" s="50" t="s">
        <v>2406</v>
      </c>
      <c r="AB88" s="52" t="s">
        <v>2405</v>
      </c>
      <c r="AC88" s="53" t="s">
        <v>3171</v>
      </c>
      <c r="AD88" s="50" t="s">
        <v>3053</v>
      </c>
      <c r="AE88" s="50" t="s">
        <v>2389</v>
      </c>
      <c r="AF88" s="50" t="s">
        <v>2388</v>
      </c>
      <c r="AG88" s="50" t="s">
        <v>2387</v>
      </c>
      <c r="AH88" s="50" t="s">
        <v>3083</v>
      </c>
      <c r="AI88" s="50" t="s">
        <v>0</v>
      </c>
      <c r="AJ88" s="51" t="s">
        <v>2386</v>
      </c>
      <c r="AK88" s="52" t="s">
        <v>2385</v>
      </c>
      <c r="AL88" s="50" t="s">
        <v>2404</v>
      </c>
      <c r="AM88" s="52" t="s">
        <v>2921</v>
      </c>
      <c r="AN88" s="55" t="s">
        <v>99</v>
      </c>
      <c r="AO88" s="7" t="s">
        <v>0</v>
      </c>
    </row>
    <row r="89" spans="1:41" ht="12.75" customHeight="1" x14ac:dyDescent="0.2"/>
    <row r="90" spans="1:41" ht="12.75" customHeight="1" x14ac:dyDescent="0.2"/>
    <row r="91" spans="1:41" ht="12.75" customHeight="1" x14ac:dyDescent="0.2"/>
    <row r="92" spans="1:41" ht="12.75" customHeight="1" x14ac:dyDescent="0.2"/>
    <row r="93" spans="1:41" ht="12.75" customHeight="1" x14ac:dyDescent="0.2"/>
    <row r="94" spans="1:41" ht="12.75" customHeight="1" x14ac:dyDescent="0.2"/>
    <row r="95" spans="1:41" ht="12.75" customHeight="1" x14ac:dyDescent="0.2"/>
    <row r="96" spans="1:41" ht="12.75" customHeight="1" x14ac:dyDescent="0.2"/>
  </sheetData>
  <autoFilter ref="A2:AN88" xr:uid="{3372B198-E6A2-4722-AA41-135564843DE9}">
    <sortState xmlns:xlrd2="http://schemas.microsoft.com/office/spreadsheetml/2017/richdata2" ref="A3:AN88">
      <sortCondition ref="B2:B88"/>
    </sortState>
  </autoFilter>
  <mergeCells count="7">
    <mergeCell ref="A1:D1"/>
    <mergeCell ref="E1:I1"/>
    <mergeCell ref="J1:P1"/>
    <mergeCell ref="AL1:AN1"/>
    <mergeCell ref="Q1:AC1"/>
    <mergeCell ref="AJ1:AK1"/>
    <mergeCell ref="AD1:AI1"/>
  </mergeCells>
  <hyperlinks>
    <hyperlink ref="D51" r:id="rId1" xr:uid="{72AA9A7E-CC5F-4106-AA85-579C34C22E6E}"/>
    <hyperlink ref="D4" r:id="rId2" xr:uid="{9472CC4C-7743-4A52-8351-A2022D9B5ECC}"/>
    <hyperlink ref="D29" r:id="rId3" xr:uid="{1F8E3B29-4CBA-4652-9228-FE11293C02DF}"/>
    <hyperlink ref="D49" r:id="rId4" xr:uid="{2F72BF82-2C04-41D7-93C2-28461076F23A}"/>
    <hyperlink ref="D50" r:id="rId5" xr:uid="{FD1FD8C6-F345-473C-A294-330C77B102DE}"/>
    <hyperlink ref="D27" r:id="rId6" xr:uid="{84650917-5317-483D-9FD5-9D8038E1C43B}"/>
    <hyperlink ref="D87" r:id="rId7" xr:uid="{6364DC4C-959E-4D66-A97B-4BAB79B1705F}"/>
    <hyperlink ref="D88" r:id="rId8" xr:uid="{70C6BCC2-9B8F-4FC8-8391-110E60999A11}"/>
    <hyperlink ref="D26" r:id="rId9" xr:uid="{F7732C14-8E68-42F1-A10E-027A57B02FBC}"/>
  </hyperlinks>
  <pageMargins left="0.7" right="0.7" top="0.75" bottom="0.75" header="0.3" footer="0.3"/>
  <pageSetup paperSize="9" orientation="portrait" r:id="rId10"/>
  <headerFooter>
    <oddFooter>&amp;L_x000D_&amp;1#&amp;"Calibri"&amp;10&amp;K000000 Classified as | Public - Publiek (Openbaar)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A0E5E-8BB1-4479-9760-924BAF35323A}">
  <dimension ref="A1:C60"/>
  <sheetViews>
    <sheetView zoomScaleNormal="100" workbookViewId="0">
      <selection activeCell="B33" sqref="B33"/>
    </sheetView>
  </sheetViews>
  <sheetFormatPr defaultColWidth="8.85546875" defaultRowHeight="12.75" x14ac:dyDescent="0.2"/>
  <cols>
    <col min="1" max="1" width="33" style="20" bestFit="1" customWidth="1"/>
    <col min="2" max="2" width="118" style="20" bestFit="1" customWidth="1"/>
    <col min="3" max="16384" width="8.85546875" style="20"/>
  </cols>
  <sheetData>
    <row r="1" spans="1:3" ht="14.45" customHeight="1" x14ac:dyDescent="0.2">
      <c r="A1" s="39" t="s">
        <v>2841</v>
      </c>
      <c r="B1" s="39" t="s">
        <v>3258</v>
      </c>
      <c r="C1" s="20" t="s">
        <v>0</v>
      </c>
    </row>
    <row r="2" spans="1:3" ht="15" customHeight="1" x14ac:dyDescent="0.2">
      <c r="A2" s="32" t="s">
        <v>2799</v>
      </c>
      <c r="B2" s="32" t="s">
        <v>3262</v>
      </c>
      <c r="C2" s="20" t="s">
        <v>0</v>
      </c>
    </row>
    <row r="3" spans="1:3" x14ac:dyDescent="0.2">
      <c r="A3" s="32" t="s">
        <v>2802</v>
      </c>
      <c r="B3" s="32" t="s">
        <v>3263</v>
      </c>
      <c r="C3" s="20" t="s">
        <v>0</v>
      </c>
    </row>
    <row r="4" spans="1:3" x14ac:dyDescent="0.2">
      <c r="A4" s="32" t="s">
        <v>2801</v>
      </c>
      <c r="B4" s="32" t="s">
        <v>3315</v>
      </c>
      <c r="C4" s="20" t="s">
        <v>0</v>
      </c>
    </row>
    <row r="5" spans="1:3" x14ac:dyDescent="0.2">
      <c r="A5" s="32" t="s">
        <v>2800</v>
      </c>
      <c r="B5" s="32" t="s">
        <v>3264</v>
      </c>
      <c r="C5" s="20" t="s">
        <v>0</v>
      </c>
    </row>
    <row r="6" spans="1:3" x14ac:dyDescent="0.2">
      <c r="A6" s="32" t="s">
        <v>2798</v>
      </c>
      <c r="B6" s="32" t="s">
        <v>3457</v>
      </c>
      <c r="C6" s="20" t="s">
        <v>0</v>
      </c>
    </row>
    <row r="7" spans="1:3" x14ac:dyDescent="0.2">
      <c r="A7" s="40" t="s">
        <v>3176</v>
      </c>
      <c r="B7" s="34" t="s">
        <v>3266</v>
      </c>
      <c r="C7" s="20" t="s">
        <v>0</v>
      </c>
    </row>
    <row r="8" spans="1:3" x14ac:dyDescent="0.2">
      <c r="A8" s="41" t="s">
        <v>3260</v>
      </c>
      <c r="B8" s="33" t="s">
        <v>3265</v>
      </c>
      <c r="C8" s="20" t="s">
        <v>0</v>
      </c>
    </row>
    <row r="9" spans="1:3" x14ac:dyDescent="0.2">
      <c r="A9" s="32" t="s">
        <v>2949</v>
      </c>
      <c r="B9" s="32" t="s">
        <v>3267</v>
      </c>
      <c r="C9" s="20" t="s">
        <v>0</v>
      </c>
    </row>
    <row r="10" spans="1:3" x14ac:dyDescent="0.2">
      <c r="A10" s="32" t="s">
        <v>2950</v>
      </c>
      <c r="B10" s="32" t="s">
        <v>3268</v>
      </c>
      <c r="C10" s="20" t="s">
        <v>0</v>
      </c>
    </row>
    <row r="11" spans="1:3" x14ac:dyDescent="0.2">
      <c r="A11" s="32" t="s">
        <v>2951</v>
      </c>
      <c r="B11" s="32" t="s">
        <v>3268</v>
      </c>
      <c r="C11" s="20" t="s">
        <v>0</v>
      </c>
    </row>
    <row r="12" spans="1:3" x14ac:dyDescent="0.2">
      <c r="A12" s="32" t="s">
        <v>3290</v>
      </c>
      <c r="B12" s="32" t="s">
        <v>3269</v>
      </c>
      <c r="C12" s="20" t="s">
        <v>0</v>
      </c>
    </row>
    <row r="13" spans="1:3" x14ac:dyDescent="0.2">
      <c r="A13" s="33" t="s">
        <v>3291</v>
      </c>
      <c r="B13" s="33" t="s">
        <v>3296</v>
      </c>
      <c r="C13" s="20" t="s">
        <v>0</v>
      </c>
    </row>
    <row r="14" spans="1:3" x14ac:dyDescent="0.2">
      <c r="A14" s="40" t="s">
        <v>2797</v>
      </c>
      <c r="B14" s="34" t="s">
        <v>3261</v>
      </c>
      <c r="C14" s="20" t="s">
        <v>0</v>
      </c>
    </row>
    <row r="15" spans="1:3" x14ac:dyDescent="0.2">
      <c r="A15" s="42" t="s">
        <v>3294</v>
      </c>
      <c r="B15" s="32" t="s">
        <v>3297</v>
      </c>
      <c r="C15" s="20" t="s">
        <v>0</v>
      </c>
    </row>
    <row r="16" spans="1:3" x14ac:dyDescent="0.2">
      <c r="A16" s="42" t="s">
        <v>3295</v>
      </c>
      <c r="B16" s="32" t="s">
        <v>3298</v>
      </c>
      <c r="C16" s="20" t="s">
        <v>0</v>
      </c>
    </row>
    <row r="17" spans="1:3" x14ac:dyDescent="0.2">
      <c r="A17" s="41" t="s">
        <v>3248</v>
      </c>
      <c r="B17" s="33" t="s">
        <v>3270</v>
      </c>
      <c r="C17" s="20" t="s">
        <v>0</v>
      </c>
    </row>
    <row r="18" spans="1:3" x14ac:dyDescent="0.2">
      <c r="A18" s="40" t="s">
        <v>2796</v>
      </c>
      <c r="B18" s="34" t="s">
        <v>3271</v>
      </c>
      <c r="C18" s="20" t="s">
        <v>0</v>
      </c>
    </row>
    <row r="19" spans="1:3" x14ac:dyDescent="0.2">
      <c r="A19" s="42" t="s">
        <v>3177</v>
      </c>
      <c r="B19" s="32" t="s">
        <v>3272</v>
      </c>
      <c r="C19" s="20" t="s">
        <v>0</v>
      </c>
    </row>
    <row r="20" spans="1:3" x14ac:dyDescent="0.2">
      <c r="A20" s="42" t="s">
        <v>2795</v>
      </c>
      <c r="B20" s="32" t="s">
        <v>3286</v>
      </c>
      <c r="C20" s="20" t="s">
        <v>0</v>
      </c>
    </row>
    <row r="21" spans="1:3" x14ac:dyDescent="0.2">
      <c r="A21" s="42" t="s">
        <v>3178</v>
      </c>
      <c r="B21" s="32" t="s">
        <v>3287</v>
      </c>
      <c r="C21" s="20" t="s">
        <v>0</v>
      </c>
    </row>
    <row r="22" spans="1:3" x14ac:dyDescent="0.2">
      <c r="A22" s="41" t="s">
        <v>2844</v>
      </c>
      <c r="B22" s="33" t="s">
        <v>3273</v>
      </c>
      <c r="C22" s="20" t="s">
        <v>0</v>
      </c>
    </row>
    <row r="23" spans="1:3" x14ac:dyDescent="0.2">
      <c r="A23" s="32" t="s">
        <v>2842</v>
      </c>
      <c r="B23" s="32" t="s">
        <v>3274</v>
      </c>
      <c r="C23" s="20" t="s">
        <v>0</v>
      </c>
    </row>
    <row r="24" spans="1:3" x14ac:dyDescent="0.2">
      <c r="A24" s="32" t="s">
        <v>3106</v>
      </c>
      <c r="B24" s="32" t="s">
        <v>3275</v>
      </c>
      <c r="C24" s="20" t="s">
        <v>0</v>
      </c>
    </row>
    <row r="25" spans="1:3" x14ac:dyDescent="0.2">
      <c r="A25" s="41" t="s">
        <v>2843</v>
      </c>
      <c r="B25" s="33" t="s">
        <v>3299</v>
      </c>
      <c r="C25" s="20" t="s">
        <v>0</v>
      </c>
    </row>
    <row r="26" spans="1:3" x14ac:dyDescent="0.2">
      <c r="A26" s="32" t="s">
        <v>2808</v>
      </c>
      <c r="B26" s="32" t="s">
        <v>3276</v>
      </c>
      <c r="C26" s="20" t="s">
        <v>0</v>
      </c>
    </row>
    <row r="27" spans="1:3" x14ac:dyDescent="0.2">
      <c r="A27" s="34" t="s">
        <v>3054</v>
      </c>
      <c r="B27" s="34" t="s">
        <v>3277</v>
      </c>
      <c r="C27" s="20" t="s">
        <v>0</v>
      </c>
    </row>
    <row r="28" spans="1:3" x14ac:dyDescent="0.2">
      <c r="A28" s="32" t="s">
        <v>2794</v>
      </c>
      <c r="B28" s="32" t="s">
        <v>3279</v>
      </c>
      <c r="C28" s="20" t="s">
        <v>0</v>
      </c>
    </row>
    <row r="29" spans="1:3" x14ac:dyDescent="0.2">
      <c r="A29" s="32" t="s">
        <v>3280</v>
      </c>
      <c r="B29" s="32" t="s">
        <v>3278</v>
      </c>
      <c r="C29" s="20" t="s">
        <v>0</v>
      </c>
    </row>
    <row r="30" spans="1:3" x14ac:dyDescent="0.2">
      <c r="A30" s="32" t="s">
        <v>3283</v>
      </c>
      <c r="B30" s="32" t="s">
        <v>3288</v>
      </c>
      <c r="C30" s="20" t="s">
        <v>0</v>
      </c>
    </row>
    <row r="31" spans="1:3" x14ac:dyDescent="0.2">
      <c r="A31" s="32" t="s">
        <v>3282</v>
      </c>
      <c r="B31" s="32" t="s">
        <v>3300</v>
      </c>
      <c r="C31" s="20" t="s">
        <v>0</v>
      </c>
    </row>
    <row r="32" spans="1:3" x14ac:dyDescent="0.2">
      <c r="A32" s="32" t="s">
        <v>3523</v>
      </c>
      <c r="B32" s="32" t="s">
        <v>3529</v>
      </c>
    </row>
    <row r="33" spans="1:3" x14ac:dyDescent="0.2">
      <c r="A33" s="34" t="s">
        <v>2845</v>
      </c>
      <c r="B33" s="34" t="s">
        <v>3301</v>
      </c>
      <c r="C33" s="20" t="s">
        <v>0</v>
      </c>
    </row>
    <row r="34" spans="1:3" x14ac:dyDescent="0.2">
      <c r="A34" s="33" t="s">
        <v>3491</v>
      </c>
      <c r="B34" s="33" t="s">
        <v>3281</v>
      </c>
      <c r="C34" s="20" t="s">
        <v>0</v>
      </c>
    </row>
    <row r="35" spans="1:3" x14ac:dyDescent="0.2">
      <c r="A35" s="40" t="s">
        <v>3293</v>
      </c>
      <c r="B35" s="34" t="s">
        <v>3284</v>
      </c>
      <c r="C35" s="20" t="s">
        <v>0</v>
      </c>
    </row>
    <row r="36" spans="1:3" x14ac:dyDescent="0.2">
      <c r="A36" s="41" t="s">
        <v>3179</v>
      </c>
      <c r="B36" s="33" t="s">
        <v>3285</v>
      </c>
      <c r="C36" s="20" t="s">
        <v>0</v>
      </c>
    </row>
    <row r="37" spans="1:3" x14ac:dyDescent="0.2">
      <c r="A37" s="32" t="s">
        <v>3292</v>
      </c>
      <c r="B37" s="32" t="s">
        <v>3289</v>
      </c>
      <c r="C37" s="20" t="s">
        <v>0</v>
      </c>
    </row>
    <row r="39" spans="1:3" x14ac:dyDescent="0.2">
      <c r="B39" s="22"/>
    </row>
    <row r="51" spans="2:2" x14ac:dyDescent="0.2">
      <c r="B51" s="22"/>
    </row>
    <row r="52" spans="2:2" x14ac:dyDescent="0.2">
      <c r="B52" s="22"/>
    </row>
    <row r="53" spans="2:2" x14ac:dyDescent="0.2">
      <c r="B53" s="22"/>
    </row>
    <row r="54" spans="2:2" x14ac:dyDescent="0.2">
      <c r="B54" s="22"/>
    </row>
    <row r="55" spans="2:2" x14ac:dyDescent="0.2">
      <c r="B55" s="22"/>
    </row>
    <row r="56" spans="2:2" x14ac:dyDescent="0.2">
      <c r="B56" s="22"/>
    </row>
    <row r="57" spans="2:2" x14ac:dyDescent="0.2">
      <c r="B57" s="22"/>
    </row>
    <row r="58" spans="2:2" x14ac:dyDescent="0.2">
      <c r="B58" s="22"/>
    </row>
    <row r="59" spans="2:2" x14ac:dyDescent="0.2">
      <c r="B59" s="22"/>
    </row>
    <row r="60" spans="2:2" x14ac:dyDescent="0.2">
      <c r="B60" s="22"/>
    </row>
  </sheetData>
  <pageMargins left="0.7" right="0.7" top="0.75" bottom="0.75" header="0.3" footer="0.3"/>
  <pageSetup paperSize="8" orientation="landscape" r:id="rId1"/>
  <headerFooter>
    <oddFooter>&amp;L_x000D_&amp;1#&amp;"Calibri"&amp;10&amp;K000000 Classified as | Public - Publiek (Openbaar)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E94E2-CAA0-4DA1-9AB5-A5546D309C9D}">
  <dimension ref="A1:L959"/>
  <sheetViews>
    <sheetView workbookViewId="0">
      <selection activeCell="L16" sqref="L16"/>
    </sheetView>
  </sheetViews>
  <sheetFormatPr defaultColWidth="9.140625" defaultRowHeight="12.75" x14ac:dyDescent="0.2"/>
  <cols>
    <col min="1" max="1" width="22.140625" style="22" customWidth="1"/>
    <col min="2" max="2" width="21.28515625" style="20" customWidth="1"/>
    <col min="3" max="3" width="27.5703125" style="20" customWidth="1"/>
    <col min="4" max="4" width="7.7109375" style="20" customWidth="1"/>
    <col min="5" max="5" width="13.140625" style="20" customWidth="1"/>
    <col min="6" max="6" width="10.7109375" style="20" customWidth="1"/>
    <col min="7" max="7" width="10.85546875" style="20" customWidth="1"/>
    <col min="8" max="8" width="10.7109375" style="20" customWidth="1"/>
    <col min="9" max="9" width="14.140625" style="20" customWidth="1"/>
    <col min="10" max="10" width="33.140625" style="20" customWidth="1"/>
    <col min="11" max="11" width="9.140625" style="20"/>
    <col min="12" max="12" width="10.7109375" style="20" bestFit="1" customWidth="1"/>
    <col min="13" max="16384" width="9.140625" style="20"/>
  </cols>
  <sheetData>
    <row r="1" spans="1:12" x14ac:dyDescent="0.2">
      <c r="A1" s="27" t="s">
        <v>2819</v>
      </c>
      <c r="B1" s="28" t="s">
        <v>2805</v>
      </c>
      <c r="C1" s="28" t="s">
        <v>2806</v>
      </c>
      <c r="D1" s="28" t="s">
        <v>2813</v>
      </c>
      <c r="E1" s="28" t="s">
        <v>40</v>
      </c>
      <c r="F1" s="28" t="s">
        <v>2803</v>
      </c>
      <c r="G1" s="28" t="s">
        <v>123</v>
      </c>
      <c r="H1" s="28" t="s">
        <v>922</v>
      </c>
      <c r="I1" s="28" t="s">
        <v>2838</v>
      </c>
      <c r="J1" s="28" t="s">
        <v>2831</v>
      </c>
      <c r="L1" s="29">
        <f>SUBTOTAL(103, B:B)-1</f>
        <v>958</v>
      </c>
    </row>
    <row r="2" spans="1:12" x14ac:dyDescent="0.2">
      <c r="A2" s="30" t="s">
        <v>2821</v>
      </c>
      <c r="B2" s="21" t="s">
        <v>1031</v>
      </c>
      <c r="C2" s="21" t="s">
        <v>1032</v>
      </c>
      <c r="D2" s="21">
        <v>2016</v>
      </c>
      <c r="E2" s="21" t="s">
        <v>948</v>
      </c>
      <c r="F2" s="21" t="s">
        <v>1033</v>
      </c>
      <c r="G2" s="21" t="str">
        <f>HYPERLINK("http://dx.doi.org/10.1108/JMD-09-2014-0094","http://dx.doi.org/10.1108/JMD-09-2014-0094")</f>
        <v>http://dx.doi.org/10.1108/JMD-09-2014-0094</v>
      </c>
      <c r="H2" s="21" t="s">
        <v>2826</v>
      </c>
      <c r="I2" s="21" t="s">
        <v>2836</v>
      </c>
      <c r="J2" s="21" t="s">
        <v>2830</v>
      </c>
      <c r="K2" s="20" t="s">
        <v>0</v>
      </c>
    </row>
    <row r="3" spans="1:12" x14ac:dyDescent="0.2">
      <c r="A3" s="30" t="s">
        <v>1569</v>
      </c>
      <c r="B3" s="21" t="s">
        <v>2059</v>
      </c>
      <c r="C3" s="21" t="s">
        <v>1655</v>
      </c>
      <c r="D3" s="21">
        <v>2012</v>
      </c>
      <c r="E3" s="21" t="s">
        <v>925</v>
      </c>
      <c r="F3" s="21" t="s">
        <v>144</v>
      </c>
      <c r="G3" s="21" t="str">
        <f>HYPERLINK("http://dx.doi.org/10.1016/j.jclepro.2011.11.061","http://dx.doi.org/10.1016/j.jclepro.2011.11.061")</f>
        <v>http://dx.doi.org/10.1016/j.jclepro.2011.11.061</v>
      </c>
      <c r="H3" s="21" t="s">
        <v>2826</v>
      </c>
      <c r="I3" s="21" t="s">
        <v>2832</v>
      </c>
      <c r="J3" s="21" t="s">
        <v>2847</v>
      </c>
      <c r="K3" s="20" t="s">
        <v>0</v>
      </c>
    </row>
    <row r="4" spans="1:12" x14ac:dyDescent="0.2">
      <c r="A4" s="30" t="s">
        <v>2821</v>
      </c>
      <c r="B4" s="21" t="s">
        <v>629</v>
      </c>
      <c r="C4" s="21" t="s">
        <v>630</v>
      </c>
      <c r="D4" s="21">
        <v>2021</v>
      </c>
      <c r="E4" s="21" t="s">
        <v>41</v>
      </c>
      <c r="F4" s="21" t="s">
        <v>631</v>
      </c>
      <c r="G4" s="21" t="str">
        <f>HYPERLINK("http://dx.doi.org/10.3390/foods10123065","http://dx.doi.org/10.3390/foods10123065")</f>
        <v>http://dx.doi.org/10.3390/foods10123065</v>
      </c>
      <c r="H4" s="21" t="s">
        <v>2826</v>
      </c>
      <c r="I4" s="21" t="s">
        <v>2836</v>
      </c>
      <c r="J4" s="21" t="s">
        <v>2830</v>
      </c>
      <c r="K4" s="20" t="s">
        <v>0</v>
      </c>
    </row>
    <row r="5" spans="1:12" x14ac:dyDescent="0.2">
      <c r="A5" s="30" t="s">
        <v>2821</v>
      </c>
      <c r="B5" s="21" t="s">
        <v>292</v>
      </c>
      <c r="C5" s="21" t="s">
        <v>16</v>
      </c>
      <c r="D5" s="21">
        <v>2023</v>
      </c>
      <c r="E5" s="21" t="s">
        <v>928</v>
      </c>
      <c r="F5" s="21" t="s">
        <v>197</v>
      </c>
      <c r="G5" s="21" t="str">
        <f>HYPERLINK("http://dx.doi.org/10.1016/j.scitotenv.2023.162038","http://dx.doi.org/10.1016/j.scitotenv.2023.162038")</f>
        <v>http://dx.doi.org/10.1016/j.scitotenv.2023.162038</v>
      </c>
      <c r="H5" s="21" t="s">
        <v>1230</v>
      </c>
      <c r="I5" s="21" t="s">
        <v>2262</v>
      </c>
      <c r="J5" s="21" t="s">
        <v>2262</v>
      </c>
      <c r="K5" s="20" t="s">
        <v>0</v>
      </c>
    </row>
    <row r="6" spans="1:12" x14ac:dyDescent="0.2">
      <c r="A6" s="30" t="s">
        <v>2821</v>
      </c>
      <c r="B6" s="21" t="s">
        <v>476</v>
      </c>
      <c r="C6" s="21" t="s">
        <v>477</v>
      </c>
      <c r="D6" s="21">
        <v>2020</v>
      </c>
      <c r="E6" s="21" t="s">
        <v>931</v>
      </c>
      <c r="F6" s="21" t="s">
        <v>314</v>
      </c>
      <c r="G6" s="21" t="str">
        <f>HYPERLINK("http://dx.doi.org/10.1016/j.renene.2020.05.068","http://dx.doi.org/10.1016/j.renene.2020.05.068")</f>
        <v>http://dx.doi.org/10.1016/j.renene.2020.05.068</v>
      </c>
      <c r="H6" s="21" t="s">
        <v>2826</v>
      </c>
      <c r="I6" s="21" t="s">
        <v>2834</v>
      </c>
      <c r="J6" s="21" t="s">
        <v>2208</v>
      </c>
      <c r="K6" s="20" t="s">
        <v>0</v>
      </c>
    </row>
    <row r="7" spans="1:12" x14ac:dyDescent="0.2">
      <c r="A7" s="30" t="s">
        <v>1569</v>
      </c>
      <c r="B7" s="21" t="s">
        <v>2095</v>
      </c>
      <c r="C7" s="21" t="s">
        <v>1274</v>
      </c>
      <c r="D7" s="21">
        <v>2009</v>
      </c>
      <c r="E7" s="21" t="s">
        <v>925</v>
      </c>
      <c r="F7" s="21" t="s">
        <v>1846</v>
      </c>
      <c r="G7" s="21" t="str">
        <f>HYPERLINK("http://dx.doi.org/10.1016/j.agsy.2009.07.001","http://dx.doi.org/10.1016/j.agsy.2009.07.001")</f>
        <v>http://dx.doi.org/10.1016/j.agsy.2009.07.001</v>
      </c>
      <c r="H7" s="21" t="s">
        <v>2826</v>
      </c>
      <c r="I7" s="21" t="s">
        <v>2835</v>
      </c>
      <c r="J7" s="21" t="s">
        <v>2219</v>
      </c>
      <c r="K7" s="20" t="s">
        <v>0</v>
      </c>
    </row>
    <row r="8" spans="1:12" x14ac:dyDescent="0.2">
      <c r="A8" s="30" t="s">
        <v>1569</v>
      </c>
      <c r="B8" s="21" t="s">
        <v>1705</v>
      </c>
      <c r="C8" s="21" t="s">
        <v>1591</v>
      </c>
      <c r="D8" s="21">
        <v>2019</v>
      </c>
      <c r="E8" s="21" t="s">
        <v>41</v>
      </c>
      <c r="F8" s="21" t="s">
        <v>54</v>
      </c>
      <c r="G8" s="21" t="str">
        <f>HYPERLINK("http://dx.doi.org/10.3390/su11133501","http://dx.doi.org/10.3390/su11133501")</f>
        <v>http://dx.doi.org/10.3390/su11133501</v>
      </c>
      <c r="H8" s="21" t="s">
        <v>2826</v>
      </c>
      <c r="I8" s="21" t="s">
        <v>2832</v>
      </c>
      <c r="J8" s="21" t="s">
        <v>2847</v>
      </c>
      <c r="K8" s="20" t="s">
        <v>0</v>
      </c>
    </row>
    <row r="9" spans="1:12" x14ac:dyDescent="0.2">
      <c r="A9" s="30" t="s">
        <v>2821</v>
      </c>
      <c r="B9" s="21" t="s">
        <v>290</v>
      </c>
      <c r="C9" s="21" t="s">
        <v>291</v>
      </c>
      <c r="D9" s="21">
        <v>2015</v>
      </c>
      <c r="E9" s="21" t="s">
        <v>931</v>
      </c>
      <c r="F9" s="21" t="s">
        <v>138</v>
      </c>
      <c r="G9" s="21" t="str">
        <f>HYPERLINK("http://dx.doi.org/10.1016/j.ijhydene.2015.07.147","http://dx.doi.org/10.1016/j.ijhydene.2015.07.147")</f>
        <v>http://dx.doi.org/10.1016/j.ijhydene.2015.07.147</v>
      </c>
      <c r="H9" s="21" t="s">
        <v>2826</v>
      </c>
      <c r="I9" s="21" t="s">
        <v>2835</v>
      </c>
      <c r="J9" s="21" t="s">
        <v>2218</v>
      </c>
      <c r="K9" s="20" t="s">
        <v>0</v>
      </c>
    </row>
    <row r="10" spans="1:12" x14ac:dyDescent="0.2">
      <c r="A10" s="30" t="s">
        <v>1569</v>
      </c>
      <c r="B10" s="21" t="s">
        <v>2037</v>
      </c>
      <c r="C10" s="21" t="s">
        <v>1651</v>
      </c>
      <c r="D10" s="21">
        <v>2013</v>
      </c>
      <c r="E10" s="21" t="s">
        <v>931</v>
      </c>
      <c r="F10" s="21" t="s">
        <v>314</v>
      </c>
      <c r="G10" s="21" t="str">
        <f>HYPERLINK("http://dx.doi.org/10.1016/j.renene.2013.06.012","http://dx.doi.org/10.1016/j.renene.2013.06.012")</f>
        <v>http://dx.doi.org/10.1016/j.renene.2013.06.012</v>
      </c>
      <c r="H10" s="21" t="s">
        <v>2826</v>
      </c>
      <c r="I10" s="21" t="s">
        <v>2835</v>
      </c>
      <c r="J10" s="21" t="s">
        <v>2218</v>
      </c>
      <c r="K10" s="20" t="s">
        <v>0</v>
      </c>
    </row>
    <row r="11" spans="1:12" x14ac:dyDescent="0.2">
      <c r="A11" s="30" t="s">
        <v>2821</v>
      </c>
      <c r="B11" s="21" t="s">
        <v>638</v>
      </c>
      <c r="C11" s="21" t="s">
        <v>639</v>
      </c>
      <c r="D11" s="21">
        <v>2020</v>
      </c>
      <c r="E11" s="21" t="s">
        <v>928</v>
      </c>
      <c r="F11" s="21" t="s">
        <v>213</v>
      </c>
      <c r="G11" s="21" t="str">
        <f>HYPERLINK("http://dx.doi.org/10.1016/j.resconrec.2020.105026","http://dx.doi.org/10.1016/j.resconrec.2020.105026")</f>
        <v>http://dx.doi.org/10.1016/j.resconrec.2020.105026</v>
      </c>
      <c r="H11" s="21" t="s">
        <v>2826</v>
      </c>
      <c r="I11" s="21" t="s">
        <v>2833</v>
      </c>
      <c r="J11" s="21" t="s">
        <v>2827</v>
      </c>
      <c r="K11" s="20" t="s">
        <v>0</v>
      </c>
    </row>
    <row r="12" spans="1:12" x14ac:dyDescent="0.2">
      <c r="A12" s="30" t="s">
        <v>2821</v>
      </c>
      <c r="B12" s="21" t="s">
        <v>601</v>
      </c>
      <c r="C12" s="21" t="s">
        <v>602</v>
      </c>
      <c r="D12" s="21">
        <v>2020</v>
      </c>
      <c r="E12" s="21" t="s">
        <v>925</v>
      </c>
      <c r="F12" s="21" t="s">
        <v>144</v>
      </c>
      <c r="G12" s="21" t="str">
        <f>HYPERLINK("http://dx.doi.org/10.1016/j.jclepro.2020.123001","http://dx.doi.org/10.1016/j.jclepro.2020.123001")</f>
        <v>http://dx.doi.org/10.1016/j.jclepro.2020.123001</v>
      </c>
      <c r="H12" s="21" t="s">
        <v>2826</v>
      </c>
      <c r="I12" s="21" t="s">
        <v>2832</v>
      </c>
      <c r="J12" s="21" t="s">
        <v>2213</v>
      </c>
      <c r="K12" s="20" t="s">
        <v>0</v>
      </c>
    </row>
    <row r="13" spans="1:12" x14ac:dyDescent="0.2">
      <c r="A13" s="30" t="s">
        <v>2821</v>
      </c>
      <c r="B13" s="21" t="s">
        <v>1110</v>
      </c>
      <c r="C13" s="21" t="s">
        <v>98</v>
      </c>
      <c r="D13" s="21">
        <v>2024</v>
      </c>
      <c r="E13" s="21" t="s">
        <v>950</v>
      </c>
      <c r="F13" s="21" t="s">
        <v>534</v>
      </c>
      <c r="G13" s="21" t="str">
        <f>HYPERLINK("http://dx.doi.org/10.1016/j.jenvman.2024.122915","http://dx.doi.org/10.1016/j.jenvman.2024.122915")</f>
        <v>http://dx.doi.org/10.1016/j.jenvman.2024.122915</v>
      </c>
      <c r="H13" s="21" t="s">
        <v>2826</v>
      </c>
      <c r="I13" s="21" t="s">
        <v>2900</v>
      </c>
      <c r="J13" s="21" t="s">
        <v>2828</v>
      </c>
      <c r="K13" s="20" t="s">
        <v>0</v>
      </c>
    </row>
    <row r="14" spans="1:12" x14ac:dyDescent="0.2">
      <c r="A14" s="30" t="s">
        <v>2821</v>
      </c>
      <c r="B14" s="21" t="s">
        <v>351</v>
      </c>
      <c r="C14" s="21" t="s">
        <v>352</v>
      </c>
      <c r="D14" s="21">
        <v>2023</v>
      </c>
      <c r="E14" s="21" t="s">
        <v>925</v>
      </c>
      <c r="F14" s="21" t="s">
        <v>144</v>
      </c>
      <c r="G14" s="21" t="str">
        <f>HYPERLINK("http://dx.doi.org/10.1016/j.jclepro.2022.135278","http://dx.doi.org/10.1016/j.jclepro.2022.135278")</f>
        <v>http://dx.doi.org/10.1016/j.jclepro.2022.135278</v>
      </c>
      <c r="H14" s="21" t="s">
        <v>2825</v>
      </c>
      <c r="I14" s="21" t="s">
        <v>2835</v>
      </c>
      <c r="J14" s="21" t="s">
        <v>2849</v>
      </c>
      <c r="K14" s="20" t="s">
        <v>0</v>
      </c>
    </row>
    <row r="15" spans="1:12" x14ac:dyDescent="0.2">
      <c r="A15" s="30" t="s">
        <v>2821</v>
      </c>
      <c r="B15" s="21" t="s">
        <v>2824</v>
      </c>
      <c r="C15" s="21" t="s">
        <v>71</v>
      </c>
      <c r="D15" s="21">
        <v>2024</v>
      </c>
      <c r="E15" s="21" t="s">
        <v>923</v>
      </c>
      <c r="F15" s="21" t="s">
        <v>127</v>
      </c>
      <c r="G15" s="21" t="s">
        <v>72</v>
      </c>
      <c r="H15" s="21" t="s">
        <v>1230</v>
      </c>
      <c r="I15" s="21" t="s">
        <v>2262</v>
      </c>
      <c r="J15" s="21" t="s">
        <v>2262</v>
      </c>
      <c r="K15" s="20" t="s">
        <v>0</v>
      </c>
    </row>
    <row r="16" spans="1:12" x14ac:dyDescent="0.2">
      <c r="A16" s="30" t="s">
        <v>2821</v>
      </c>
      <c r="B16" s="21" t="s">
        <v>2372</v>
      </c>
      <c r="C16" s="21" t="s">
        <v>2367</v>
      </c>
      <c r="D16" s="21">
        <v>2025</v>
      </c>
      <c r="E16" s="21" t="s">
        <v>928</v>
      </c>
      <c r="F16" s="21" t="s">
        <v>173</v>
      </c>
      <c r="G16" s="21" t="str">
        <f>HYPERLINK("http://dx.doi.org/10.1016/j.spc.2025.04.024","http://dx.doi.org/10.1016/j.spc.2025.04.024")</f>
        <v>http://dx.doi.org/10.1016/j.spc.2025.04.024</v>
      </c>
      <c r="H16" s="21" t="s">
        <v>2826</v>
      </c>
      <c r="I16" s="21" t="s">
        <v>2900</v>
      </c>
      <c r="J16" s="21" t="s">
        <v>2848</v>
      </c>
      <c r="K16" s="20" t="s">
        <v>0</v>
      </c>
    </row>
    <row r="17" spans="1:11" x14ac:dyDescent="0.2">
      <c r="A17" s="30" t="s">
        <v>2821</v>
      </c>
      <c r="B17" s="21" t="s">
        <v>2322</v>
      </c>
      <c r="C17" s="21" t="s">
        <v>2315</v>
      </c>
      <c r="D17" s="21">
        <v>2025</v>
      </c>
      <c r="E17" s="21" t="s">
        <v>924</v>
      </c>
      <c r="F17" s="21" t="s">
        <v>357</v>
      </c>
      <c r="G17" s="21" t="str">
        <f>HYPERLINK("http://dx.doi.org/10.1021/acs.est.4c12138","http://dx.doi.org/10.1021/acs.est.4c12138")</f>
        <v>http://dx.doi.org/10.1021/acs.est.4c12138</v>
      </c>
      <c r="H17" s="21" t="s">
        <v>1230</v>
      </c>
      <c r="I17" s="21" t="s">
        <v>2262</v>
      </c>
      <c r="J17" s="21" t="s">
        <v>2262</v>
      </c>
      <c r="K17" s="20" t="s">
        <v>0</v>
      </c>
    </row>
    <row r="18" spans="1:11" x14ac:dyDescent="0.2">
      <c r="A18" s="30" t="s">
        <v>2821</v>
      </c>
      <c r="B18" s="21" t="s">
        <v>408</v>
      </c>
      <c r="C18" s="21" t="s">
        <v>409</v>
      </c>
      <c r="D18" s="21">
        <v>2020</v>
      </c>
      <c r="E18" s="21" t="s">
        <v>926</v>
      </c>
      <c r="F18" s="21" t="s">
        <v>209</v>
      </c>
      <c r="G18" s="21" t="str">
        <f>HYPERLINK("http://dx.doi.org/10.1007/s11367-019-01695-7","http://dx.doi.org/10.1007/s11367-019-01695-7")</f>
        <v>http://dx.doi.org/10.1007/s11367-019-01695-7</v>
      </c>
      <c r="H18" s="21" t="s">
        <v>2825</v>
      </c>
      <c r="I18" s="21" t="s">
        <v>2832</v>
      </c>
      <c r="J18" s="21" t="s">
        <v>2224</v>
      </c>
      <c r="K18" s="20" t="s">
        <v>0</v>
      </c>
    </row>
    <row r="19" spans="1:11" x14ac:dyDescent="0.2">
      <c r="A19" s="30" t="s">
        <v>2821</v>
      </c>
      <c r="B19" s="21" t="s">
        <v>473</v>
      </c>
      <c r="C19" s="21" t="s">
        <v>89</v>
      </c>
      <c r="D19" s="21">
        <v>2019</v>
      </c>
      <c r="E19" s="21" t="s">
        <v>925</v>
      </c>
      <c r="F19" s="21" t="s">
        <v>167</v>
      </c>
      <c r="G19" s="21" t="str">
        <f>HYPERLINK("http://dx.doi.org/10.1016/j.apenergy.2019.01.186","http://dx.doi.org/10.1016/j.apenergy.2019.01.186")</f>
        <v>http://dx.doi.org/10.1016/j.apenergy.2019.01.186</v>
      </c>
      <c r="H19" s="21" t="s">
        <v>2825</v>
      </c>
      <c r="I19" s="21" t="s">
        <v>2832</v>
      </c>
      <c r="J19" s="21" t="s">
        <v>2226</v>
      </c>
      <c r="K19" s="20" t="s">
        <v>0</v>
      </c>
    </row>
    <row r="20" spans="1:11" x14ac:dyDescent="0.2">
      <c r="A20" s="30" t="s">
        <v>2821</v>
      </c>
      <c r="B20" s="21" t="s">
        <v>360</v>
      </c>
      <c r="C20" s="21" t="s">
        <v>361</v>
      </c>
      <c r="D20" s="21">
        <v>2024</v>
      </c>
      <c r="E20" s="21" t="s">
        <v>926</v>
      </c>
      <c r="F20" s="21" t="s">
        <v>209</v>
      </c>
      <c r="G20" s="21" t="str">
        <f>HYPERLINK("http://dx.doi.org/10.1007/s11367-024-02381-z","http://dx.doi.org/10.1007/s11367-024-02381-z")</f>
        <v>http://dx.doi.org/10.1007/s11367-024-02381-z</v>
      </c>
      <c r="H20" s="21" t="s">
        <v>2826</v>
      </c>
      <c r="I20" s="21" t="s">
        <v>2835</v>
      </c>
      <c r="J20" s="21" t="s">
        <v>2218</v>
      </c>
      <c r="K20" s="20" t="s">
        <v>0</v>
      </c>
    </row>
    <row r="21" spans="1:11" x14ac:dyDescent="0.2">
      <c r="A21" s="30" t="s">
        <v>1569</v>
      </c>
      <c r="B21" s="21" t="s">
        <v>1212</v>
      </c>
      <c r="C21" s="21" t="s">
        <v>80</v>
      </c>
      <c r="D21" s="21">
        <v>2019</v>
      </c>
      <c r="E21" s="21" t="s">
        <v>926</v>
      </c>
      <c r="F21" s="21" t="s">
        <v>209</v>
      </c>
      <c r="G21" s="21" t="str">
        <f>HYPERLINK("http://dx.doi.org/10.1007/s11367-018-1548-3","http://dx.doi.org/10.1007/s11367-018-1548-3")</f>
        <v>http://dx.doi.org/10.1007/s11367-018-1548-3</v>
      </c>
      <c r="H21" s="21" t="s">
        <v>2825</v>
      </c>
      <c r="I21" s="21" t="s">
        <v>2832</v>
      </c>
      <c r="J21" s="21" t="s">
        <v>2852</v>
      </c>
      <c r="K21" s="20" t="s">
        <v>0</v>
      </c>
    </row>
    <row r="22" spans="1:11" x14ac:dyDescent="0.2">
      <c r="A22" s="30" t="s">
        <v>1569</v>
      </c>
      <c r="B22" s="21" t="s">
        <v>2090</v>
      </c>
      <c r="C22" s="21" t="s">
        <v>1275</v>
      </c>
      <c r="D22" s="21">
        <v>2010</v>
      </c>
      <c r="E22" s="21" t="s">
        <v>931</v>
      </c>
      <c r="F22" s="21" t="s">
        <v>43</v>
      </c>
      <c r="G22" s="21" t="str">
        <f>HYPERLINK("http://dx.doi.org/10.1016/j.energy.2009.11.018","http://dx.doi.org/10.1016/j.energy.2009.11.018")</f>
        <v>http://dx.doi.org/10.1016/j.energy.2009.11.018</v>
      </c>
      <c r="H22" s="21" t="s">
        <v>2826</v>
      </c>
      <c r="I22" s="21" t="s">
        <v>2835</v>
      </c>
      <c r="J22" s="21" t="s">
        <v>2218</v>
      </c>
      <c r="K22" s="20" t="s">
        <v>0</v>
      </c>
    </row>
    <row r="23" spans="1:11" x14ac:dyDescent="0.2">
      <c r="A23" s="30" t="s">
        <v>1569</v>
      </c>
      <c r="B23" s="21" t="s">
        <v>2109</v>
      </c>
      <c r="C23" s="21" t="s">
        <v>1276</v>
      </c>
      <c r="D23" s="21">
        <v>2007</v>
      </c>
      <c r="E23" s="21" t="s">
        <v>928</v>
      </c>
      <c r="F23" s="21" t="s">
        <v>2110</v>
      </c>
      <c r="G23" s="21" t="str">
        <f>HYPERLINK("http://dx.doi.org/10.1016/j.jpowsour.2007.04.036","http://dx.doi.org/10.1016/j.jpowsour.2007.04.036")</f>
        <v>http://dx.doi.org/10.1016/j.jpowsour.2007.04.036</v>
      </c>
      <c r="H23" s="21" t="s">
        <v>2826</v>
      </c>
      <c r="I23" s="21" t="s">
        <v>2835</v>
      </c>
      <c r="J23" s="21" t="s">
        <v>2218</v>
      </c>
      <c r="K23" s="20" t="s">
        <v>0</v>
      </c>
    </row>
    <row r="24" spans="1:11" x14ac:dyDescent="0.2">
      <c r="A24" s="30" t="s">
        <v>1569</v>
      </c>
      <c r="B24" s="21" t="s">
        <v>1997</v>
      </c>
      <c r="C24" s="21" t="s">
        <v>1277</v>
      </c>
      <c r="D24" s="21">
        <v>2014</v>
      </c>
      <c r="E24" s="21" t="s">
        <v>923</v>
      </c>
      <c r="F24" s="21" t="s">
        <v>127</v>
      </c>
      <c r="G24" s="21" t="str">
        <f>HYPERLINK("http://dx.doi.org/10.1111/jiec.12169","http://dx.doi.org/10.1111/jiec.12169")</f>
        <v>http://dx.doi.org/10.1111/jiec.12169</v>
      </c>
      <c r="H24" s="21" t="s">
        <v>2826</v>
      </c>
      <c r="I24" s="21" t="s">
        <v>2835</v>
      </c>
      <c r="J24" s="21" t="s">
        <v>2218</v>
      </c>
      <c r="K24" s="20" t="s">
        <v>0</v>
      </c>
    </row>
    <row r="25" spans="1:11" x14ac:dyDescent="0.2">
      <c r="A25" s="30" t="s">
        <v>1569</v>
      </c>
      <c r="B25" s="21" t="s">
        <v>1926</v>
      </c>
      <c r="C25" s="21" t="s">
        <v>1278</v>
      </c>
      <c r="D25" s="21">
        <v>2016</v>
      </c>
      <c r="E25" s="21" t="s">
        <v>931</v>
      </c>
      <c r="F25" s="21" t="s">
        <v>228</v>
      </c>
      <c r="G25" s="21" t="str">
        <f>HYPERLINK("http://dx.doi.org/10.1016/j.biombioe.2016.04.010","http://dx.doi.org/10.1016/j.biombioe.2016.04.010")</f>
        <v>http://dx.doi.org/10.1016/j.biombioe.2016.04.010</v>
      </c>
      <c r="H25" s="21" t="s">
        <v>2826</v>
      </c>
      <c r="I25" s="21" t="s">
        <v>2835</v>
      </c>
      <c r="J25" s="21" t="s">
        <v>2218</v>
      </c>
      <c r="K25" s="20" t="s">
        <v>0</v>
      </c>
    </row>
    <row r="26" spans="1:11" x14ac:dyDescent="0.2">
      <c r="A26" s="30" t="s">
        <v>1569</v>
      </c>
      <c r="B26" s="21" t="s">
        <v>1998</v>
      </c>
      <c r="C26" s="21" t="s">
        <v>1279</v>
      </c>
      <c r="D26" s="21">
        <v>2014</v>
      </c>
      <c r="E26" s="21" t="s">
        <v>926</v>
      </c>
      <c r="F26" s="21" t="s">
        <v>209</v>
      </c>
      <c r="G26" s="21" t="str">
        <f>HYPERLINK("http://dx.doi.org/10.1007/s11367-014-0799-x","http://dx.doi.org/10.1007/s11367-014-0799-x")</f>
        <v>http://dx.doi.org/10.1007/s11367-014-0799-x</v>
      </c>
      <c r="H26" s="21" t="s">
        <v>2826</v>
      </c>
      <c r="I26" s="21" t="s">
        <v>2835</v>
      </c>
      <c r="J26" s="21" t="s">
        <v>2218</v>
      </c>
      <c r="K26" s="20" t="s">
        <v>0</v>
      </c>
    </row>
    <row r="27" spans="1:11" x14ac:dyDescent="0.2">
      <c r="A27" s="30" t="s">
        <v>1569</v>
      </c>
      <c r="B27" s="21" t="s">
        <v>1866</v>
      </c>
      <c r="C27" s="21" t="s">
        <v>1280</v>
      </c>
      <c r="D27" s="21">
        <v>2017</v>
      </c>
      <c r="E27" s="21" t="s">
        <v>925</v>
      </c>
      <c r="F27" s="21" t="s">
        <v>66</v>
      </c>
      <c r="G27" s="21" t="str">
        <f>HYPERLINK("http://dx.doi.org/10.1016/j.heliyon.2017.e00268","http://dx.doi.org/10.1016/j.heliyon.2017.e00268")</f>
        <v>http://dx.doi.org/10.1016/j.heliyon.2017.e00268</v>
      </c>
      <c r="H27" s="21" t="s">
        <v>2826</v>
      </c>
      <c r="I27" s="21" t="s">
        <v>2835</v>
      </c>
      <c r="J27" s="21" t="s">
        <v>2219</v>
      </c>
      <c r="K27" s="20" t="s">
        <v>0</v>
      </c>
    </row>
    <row r="28" spans="1:11" x14ac:dyDescent="0.2">
      <c r="A28" s="30" t="s">
        <v>2821</v>
      </c>
      <c r="B28" s="21" t="s">
        <v>946</v>
      </c>
      <c r="C28" s="21" t="s">
        <v>947</v>
      </c>
      <c r="D28" s="21">
        <v>2020</v>
      </c>
      <c r="E28" s="21" t="s">
        <v>948</v>
      </c>
      <c r="F28" s="21" t="s">
        <v>949</v>
      </c>
      <c r="G28" s="21" t="str">
        <f>HYPERLINK("http://dx.doi.org/10.1108/IJAIM-02-2019-0027","http://dx.doi.org/10.1108/IJAIM-02-2019-0027")</f>
        <v>http://dx.doi.org/10.1108/IJAIM-02-2019-0027</v>
      </c>
      <c r="H28" s="21" t="s">
        <v>2826</v>
      </c>
      <c r="I28" s="21" t="s">
        <v>2836</v>
      </c>
      <c r="J28" s="21" t="s">
        <v>2830</v>
      </c>
      <c r="K28" s="20" t="s">
        <v>0</v>
      </c>
    </row>
    <row r="29" spans="1:11" x14ac:dyDescent="0.2">
      <c r="A29" s="30" t="s">
        <v>1569</v>
      </c>
      <c r="B29" s="21" t="s">
        <v>1947</v>
      </c>
      <c r="C29" s="21" t="s">
        <v>1281</v>
      </c>
      <c r="D29" s="21">
        <v>2016</v>
      </c>
      <c r="E29" s="21" t="s">
        <v>928</v>
      </c>
      <c r="F29" s="21" t="s">
        <v>1910</v>
      </c>
      <c r="G29" s="21" t="str">
        <f>HYPERLINK("http://dx.doi.org/10.1016/j.scs.2015.10.006","http://dx.doi.org/10.1016/j.scs.2015.10.006")</f>
        <v>http://dx.doi.org/10.1016/j.scs.2015.10.006</v>
      </c>
      <c r="H29" s="21" t="s">
        <v>2826</v>
      </c>
      <c r="I29" s="21" t="s">
        <v>2835</v>
      </c>
      <c r="J29" s="21" t="s">
        <v>2218</v>
      </c>
      <c r="K29" s="20" t="s">
        <v>0</v>
      </c>
    </row>
    <row r="30" spans="1:11" x14ac:dyDescent="0.2">
      <c r="A30" s="30" t="s">
        <v>1569</v>
      </c>
      <c r="B30" s="21" t="s">
        <v>2179</v>
      </c>
      <c r="C30" s="21" t="s">
        <v>1282</v>
      </c>
      <c r="D30" s="21">
        <v>2007</v>
      </c>
      <c r="E30" s="21" t="s">
        <v>2175</v>
      </c>
      <c r="F30" s="21" t="s">
        <v>2178</v>
      </c>
      <c r="G30" s="21" t="s">
        <v>2170</v>
      </c>
      <c r="H30" s="21" t="s">
        <v>2826</v>
      </c>
      <c r="I30" s="21" t="s">
        <v>2835</v>
      </c>
      <c r="J30" s="21" t="s">
        <v>2218</v>
      </c>
      <c r="K30" s="20" t="s">
        <v>0</v>
      </c>
    </row>
    <row r="31" spans="1:11" x14ac:dyDescent="0.2">
      <c r="A31" s="30" t="s">
        <v>1569</v>
      </c>
      <c r="B31" s="21" t="s">
        <v>1956</v>
      </c>
      <c r="C31" s="21" t="s">
        <v>1283</v>
      </c>
      <c r="D31" s="21">
        <v>2015</v>
      </c>
      <c r="E31" s="21" t="s">
        <v>931</v>
      </c>
      <c r="F31" s="21" t="s">
        <v>181</v>
      </c>
      <c r="G31" s="21" t="str">
        <f>HYPERLINK("http://dx.doi.org/10.1016/j.buildenv.2015.08.008","http://dx.doi.org/10.1016/j.buildenv.2015.08.008")</f>
        <v>http://dx.doi.org/10.1016/j.buildenv.2015.08.008</v>
      </c>
      <c r="H31" s="21" t="s">
        <v>2826</v>
      </c>
      <c r="I31" s="21" t="s">
        <v>2835</v>
      </c>
      <c r="J31" s="21" t="s">
        <v>2214</v>
      </c>
      <c r="K31" s="20" t="s">
        <v>0</v>
      </c>
    </row>
    <row r="32" spans="1:11" x14ac:dyDescent="0.2">
      <c r="A32" s="30" t="s">
        <v>2821</v>
      </c>
      <c r="B32" s="21" t="s">
        <v>1185</v>
      </c>
      <c r="C32" s="21" t="s">
        <v>1097</v>
      </c>
      <c r="D32" s="21">
        <v>2015</v>
      </c>
      <c r="E32" s="21" t="s">
        <v>923</v>
      </c>
      <c r="F32" s="21" t="s">
        <v>1186</v>
      </c>
      <c r="G32" s="21" t="str">
        <f>HYPERLINK("http://dx.doi.org/10.1002/14651858.CD009905.pub2","http://dx.doi.org/10.1002/14651858.CD009905.pub2")</f>
        <v>http://dx.doi.org/10.1002/14651858.CD009905.pub2</v>
      </c>
      <c r="H32" s="21" t="s">
        <v>2826</v>
      </c>
      <c r="I32" s="21" t="s">
        <v>2836</v>
      </c>
      <c r="J32" s="21" t="s">
        <v>2830</v>
      </c>
      <c r="K32" s="20" t="s">
        <v>0</v>
      </c>
    </row>
    <row r="33" spans="1:11" x14ac:dyDescent="0.2">
      <c r="A33" s="30" t="s">
        <v>2821</v>
      </c>
      <c r="B33" s="21" t="s">
        <v>417</v>
      </c>
      <c r="C33" s="21" t="s">
        <v>418</v>
      </c>
      <c r="D33" s="21">
        <v>2022</v>
      </c>
      <c r="E33" s="21" t="s">
        <v>928</v>
      </c>
      <c r="F33" s="21" t="s">
        <v>173</v>
      </c>
      <c r="G33" s="21" t="str">
        <f>HYPERLINK("http://dx.doi.org/10.1016/j.spc.2022.01.025","http://dx.doi.org/10.1016/j.spc.2022.01.025")</f>
        <v>http://dx.doi.org/10.1016/j.spc.2022.01.025</v>
      </c>
      <c r="H33" s="21" t="s">
        <v>2826</v>
      </c>
      <c r="I33" s="21" t="s">
        <v>2833</v>
      </c>
      <c r="J33" s="21" t="s">
        <v>2827</v>
      </c>
      <c r="K33" s="20" t="s">
        <v>0</v>
      </c>
    </row>
    <row r="34" spans="1:11" x14ac:dyDescent="0.2">
      <c r="A34" s="30" t="s">
        <v>1569</v>
      </c>
      <c r="B34" s="21" t="s">
        <v>1964</v>
      </c>
      <c r="C34" s="21" t="s">
        <v>1284</v>
      </c>
      <c r="D34" s="21">
        <v>2015</v>
      </c>
      <c r="E34" s="21" t="s">
        <v>925</v>
      </c>
      <c r="F34" s="21" t="s">
        <v>1857</v>
      </c>
      <c r="G34" s="21" t="str">
        <f>HYPERLINK("http://dx.doi.org/10.1016/j.retrec.2015.10.007","http://dx.doi.org/10.1016/j.retrec.2015.10.007")</f>
        <v>http://dx.doi.org/10.1016/j.retrec.2015.10.007</v>
      </c>
      <c r="H34" s="21" t="s">
        <v>2826</v>
      </c>
      <c r="I34" s="21" t="s">
        <v>2835</v>
      </c>
      <c r="J34" s="21" t="s">
        <v>2218</v>
      </c>
      <c r="K34" s="20" t="s">
        <v>0</v>
      </c>
    </row>
    <row r="35" spans="1:11" x14ac:dyDescent="0.2">
      <c r="A35" s="30" t="s">
        <v>2821</v>
      </c>
      <c r="B35" s="21" t="s">
        <v>1119</v>
      </c>
      <c r="C35" s="21" t="s">
        <v>1073</v>
      </c>
      <c r="D35" s="21">
        <v>2024</v>
      </c>
      <c r="E35" s="21" t="s">
        <v>931</v>
      </c>
      <c r="F35" s="21" t="s">
        <v>306</v>
      </c>
      <c r="G35" s="21" t="str">
        <f>HYPERLINK("http://dx.doi.org/10.1016/j.rser.2024.114427","http://dx.doi.org/10.1016/j.rser.2024.114427")</f>
        <v>http://dx.doi.org/10.1016/j.rser.2024.114427</v>
      </c>
      <c r="H35" s="21" t="s">
        <v>2826</v>
      </c>
      <c r="I35" s="21" t="s">
        <v>2900</v>
      </c>
      <c r="J35" s="21" t="s">
        <v>2828</v>
      </c>
      <c r="K35" s="20" t="s">
        <v>0</v>
      </c>
    </row>
    <row r="36" spans="1:11" x14ac:dyDescent="0.2">
      <c r="A36" s="30" t="s">
        <v>2821</v>
      </c>
      <c r="B36" s="21" t="s">
        <v>532</v>
      </c>
      <c r="C36" s="21" t="s">
        <v>533</v>
      </c>
      <c r="D36" s="21">
        <v>2024</v>
      </c>
      <c r="E36" s="21" t="s">
        <v>950</v>
      </c>
      <c r="F36" s="21" t="s">
        <v>534</v>
      </c>
      <c r="G36" s="21" t="str">
        <f>HYPERLINK("http://dx.doi.org/10.1016/j.jenvman.2024.121210","http://dx.doi.org/10.1016/j.jenvman.2024.121210")</f>
        <v>http://dx.doi.org/10.1016/j.jenvman.2024.121210</v>
      </c>
      <c r="H36" s="21" t="s">
        <v>2826</v>
      </c>
      <c r="I36" s="21" t="s">
        <v>2832</v>
      </c>
      <c r="J36" s="21" t="s">
        <v>2213</v>
      </c>
      <c r="K36" s="20" t="s">
        <v>0</v>
      </c>
    </row>
    <row r="37" spans="1:11" x14ac:dyDescent="0.2">
      <c r="A37" s="30" t="s">
        <v>2821</v>
      </c>
      <c r="B37" s="21" t="s">
        <v>571</v>
      </c>
      <c r="C37" s="21" t="s">
        <v>572</v>
      </c>
      <c r="D37" s="21">
        <v>2021</v>
      </c>
      <c r="E37" s="21" t="s">
        <v>925</v>
      </c>
      <c r="F37" s="21" t="s">
        <v>144</v>
      </c>
      <c r="G37" s="21" t="str">
        <f>HYPERLINK("http://dx.doi.org/10.1016/j.jclepro.2021.128041","http://dx.doi.org/10.1016/j.jclepro.2021.128041")</f>
        <v>http://dx.doi.org/10.1016/j.jclepro.2021.128041</v>
      </c>
      <c r="H37" s="21" t="s">
        <v>2826</v>
      </c>
      <c r="I37" s="21" t="s">
        <v>2833</v>
      </c>
      <c r="J37" s="21" t="s">
        <v>2827</v>
      </c>
      <c r="K37" s="20" t="s">
        <v>0</v>
      </c>
    </row>
    <row r="38" spans="1:11" x14ac:dyDescent="0.2">
      <c r="A38" s="30" t="s">
        <v>1569</v>
      </c>
      <c r="B38" s="21" t="s">
        <v>1218</v>
      </c>
      <c r="C38" s="21" t="s">
        <v>76</v>
      </c>
      <c r="D38" s="21">
        <v>2017</v>
      </c>
      <c r="E38" s="21" t="s">
        <v>41</v>
      </c>
      <c r="F38" s="21" t="s">
        <v>90</v>
      </c>
      <c r="G38" s="21" t="str">
        <f>HYPERLINK("http://dx.doi.org/10.3390/en10020247","http://dx.doi.org/10.3390/en10020247")</f>
        <v>http://dx.doi.org/10.3390/en10020247</v>
      </c>
      <c r="H38" s="21" t="s">
        <v>1230</v>
      </c>
      <c r="I38" s="21" t="s">
        <v>2262</v>
      </c>
      <c r="J38" s="21" t="s">
        <v>2262</v>
      </c>
      <c r="K38" s="20" t="s">
        <v>0</v>
      </c>
    </row>
    <row r="39" spans="1:11" x14ac:dyDescent="0.2">
      <c r="A39" s="30" t="s">
        <v>1569</v>
      </c>
      <c r="B39" s="21" t="s">
        <v>1867</v>
      </c>
      <c r="C39" s="21" t="s">
        <v>1868</v>
      </c>
      <c r="D39" s="21">
        <v>2017</v>
      </c>
      <c r="E39" s="21" t="s">
        <v>964</v>
      </c>
      <c r="F39" s="21" t="s">
        <v>441</v>
      </c>
      <c r="G39" s="21" t="str">
        <f>HYPERLINK("http://dx.doi.org/10.1016/j.eiar.2016.11.001","http://dx.doi.org/10.1016/j.eiar.2016.11.001")</f>
        <v>http://dx.doi.org/10.1016/j.eiar.2016.11.001</v>
      </c>
      <c r="H39" s="21" t="s">
        <v>2826</v>
      </c>
      <c r="I39" s="21" t="s">
        <v>2900</v>
      </c>
      <c r="J39" s="21" t="s">
        <v>2828</v>
      </c>
      <c r="K39" s="20" t="s">
        <v>0</v>
      </c>
    </row>
    <row r="40" spans="1:11" x14ac:dyDescent="0.2">
      <c r="A40" s="30" t="s">
        <v>2820</v>
      </c>
      <c r="B40" s="21" t="s">
        <v>2319</v>
      </c>
      <c r="C40" s="21" t="s">
        <v>94</v>
      </c>
      <c r="D40" s="21">
        <v>2011</v>
      </c>
      <c r="E40" s="21" t="s">
        <v>953</v>
      </c>
      <c r="F40" s="21" t="s">
        <v>294</v>
      </c>
      <c r="G40" s="21" t="str">
        <f>HYPERLINK("http://dx.doi.org/10.1088/1748-9326/6/4/045102","http://dx.doi.org/10.1088/1748-9326/6/4/045102")</f>
        <v>http://dx.doi.org/10.1088/1748-9326/6/4/045102</v>
      </c>
      <c r="H40" s="21" t="s">
        <v>1230</v>
      </c>
      <c r="I40" s="21" t="s">
        <v>2262</v>
      </c>
      <c r="J40" s="21" t="s">
        <v>2262</v>
      </c>
      <c r="K40" s="20" t="s">
        <v>0</v>
      </c>
    </row>
    <row r="41" spans="1:11" x14ac:dyDescent="0.2">
      <c r="A41" s="30" t="s">
        <v>1569</v>
      </c>
      <c r="B41" s="21" t="s">
        <v>1805</v>
      </c>
      <c r="C41" s="21" t="s">
        <v>30</v>
      </c>
      <c r="D41" s="21">
        <v>2018</v>
      </c>
      <c r="E41" s="21" t="s">
        <v>925</v>
      </c>
      <c r="F41" s="21" t="s">
        <v>1806</v>
      </c>
      <c r="G41" s="21" t="str">
        <f>HYPERLINK("http://dx.doi.org/10.1016/j.envsoft.2017.09.010","http://dx.doi.org/10.1016/j.envsoft.2017.09.010")</f>
        <v>http://dx.doi.org/10.1016/j.envsoft.2017.09.010</v>
      </c>
      <c r="H41" s="21" t="s">
        <v>2825</v>
      </c>
      <c r="I41" s="21" t="s">
        <v>2900</v>
      </c>
      <c r="J41" s="21" t="s">
        <v>2828</v>
      </c>
      <c r="K41" s="20" t="s">
        <v>0</v>
      </c>
    </row>
    <row r="42" spans="1:11" x14ac:dyDescent="0.2">
      <c r="A42" s="30" t="s">
        <v>1569</v>
      </c>
      <c r="B42" s="21" t="s">
        <v>2021</v>
      </c>
      <c r="C42" s="21" t="s">
        <v>1285</v>
      </c>
      <c r="D42" s="21">
        <v>2014</v>
      </c>
      <c r="E42" s="21" t="s">
        <v>924</v>
      </c>
      <c r="F42" s="21" t="s">
        <v>357</v>
      </c>
      <c r="G42" s="21" t="str">
        <f>HYPERLINK("http://dx.doi.org/10.1021/es405338k","http://dx.doi.org/10.1021/es405338k")</f>
        <v>http://dx.doi.org/10.1021/es405338k</v>
      </c>
      <c r="H42" s="21" t="s">
        <v>2826</v>
      </c>
      <c r="I42" s="21" t="s">
        <v>2835</v>
      </c>
      <c r="J42" s="21" t="s">
        <v>2218</v>
      </c>
      <c r="K42" s="20" t="s">
        <v>0</v>
      </c>
    </row>
    <row r="43" spans="1:11" x14ac:dyDescent="0.2">
      <c r="A43" s="30" t="s">
        <v>2821</v>
      </c>
      <c r="B43" s="21" t="s">
        <v>851</v>
      </c>
      <c r="C43" s="21" t="s">
        <v>10</v>
      </c>
      <c r="D43" s="21">
        <v>2018</v>
      </c>
      <c r="E43" s="21" t="s">
        <v>923</v>
      </c>
      <c r="F43" s="21" t="s">
        <v>127</v>
      </c>
      <c r="G43" s="21" t="str">
        <f>HYPERLINK("http://dx.doi.org/10.1111/jiec.12690","http://dx.doi.org/10.1111/jiec.12690")</f>
        <v>http://dx.doi.org/10.1111/jiec.12690</v>
      </c>
      <c r="H43" s="21" t="s">
        <v>2826</v>
      </c>
      <c r="I43" s="21" t="s">
        <v>2900</v>
      </c>
      <c r="J43" s="21" t="s">
        <v>2828</v>
      </c>
      <c r="K43" s="20" t="s">
        <v>0</v>
      </c>
    </row>
    <row r="44" spans="1:11" x14ac:dyDescent="0.2">
      <c r="A44" s="30" t="s">
        <v>1569</v>
      </c>
      <c r="B44" s="21" t="s">
        <v>1829</v>
      </c>
      <c r="C44" s="21" t="s">
        <v>1286</v>
      </c>
      <c r="D44" s="21">
        <v>2017</v>
      </c>
      <c r="E44" s="21" t="s">
        <v>925</v>
      </c>
      <c r="F44" s="21" t="s">
        <v>144</v>
      </c>
      <c r="G44" s="21" t="str">
        <f>HYPERLINK("http://dx.doi.org/10.1016/j.jclepro.2017.06.222","http://dx.doi.org/10.1016/j.jclepro.2017.06.222")</f>
        <v>http://dx.doi.org/10.1016/j.jclepro.2017.06.222</v>
      </c>
      <c r="H44" s="21" t="s">
        <v>2826</v>
      </c>
      <c r="I44" s="21" t="s">
        <v>2835</v>
      </c>
      <c r="J44" s="21" t="s">
        <v>2218</v>
      </c>
      <c r="K44" s="20" t="s">
        <v>0</v>
      </c>
    </row>
    <row r="45" spans="1:11" x14ac:dyDescent="0.2">
      <c r="A45" s="30" t="s">
        <v>1569</v>
      </c>
      <c r="B45" s="21" t="s">
        <v>1737</v>
      </c>
      <c r="C45" s="21" t="s">
        <v>1287</v>
      </c>
      <c r="D45" s="21">
        <v>2019</v>
      </c>
      <c r="E45" s="21" t="s">
        <v>931</v>
      </c>
      <c r="F45" s="21" t="s">
        <v>181</v>
      </c>
      <c r="G45" s="21" t="str">
        <f>HYPERLINK("http://dx.doi.org/10.1016/j.buildenv.2018.10.047","http://dx.doi.org/10.1016/j.buildenv.2018.10.047")</f>
        <v>http://dx.doi.org/10.1016/j.buildenv.2018.10.047</v>
      </c>
      <c r="H45" s="21" t="s">
        <v>2826</v>
      </c>
      <c r="I45" s="21" t="s">
        <v>2835</v>
      </c>
      <c r="J45" s="21" t="s">
        <v>2218</v>
      </c>
      <c r="K45" s="20" t="s">
        <v>0</v>
      </c>
    </row>
    <row r="46" spans="1:11" x14ac:dyDescent="0.2">
      <c r="A46" s="30" t="s">
        <v>1569</v>
      </c>
      <c r="B46" s="21" t="s">
        <v>1869</v>
      </c>
      <c r="C46" s="21" t="s">
        <v>1288</v>
      </c>
      <c r="D46" s="21">
        <v>2017</v>
      </c>
      <c r="E46" s="21" t="s">
        <v>926</v>
      </c>
      <c r="F46" s="21" t="s">
        <v>209</v>
      </c>
      <c r="G46" s="21" t="str">
        <f>HYPERLINK("http://dx.doi.org/10.1007/s11367-016-1163-0","http://dx.doi.org/10.1007/s11367-016-1163-0")</f>
        <v>http://dx.doi.org/10.1007/s11367-016-1163-0</v>
      </c>
      <c r="H46" s="21" t="s">
        <v>2826</v>
      </c>
      <c r="I46" s="21" t="s">
        <v>2900</v>
      </c>
      <c r="J46" s="21" t="s">
        <v>2828</v>
      </c>
      <c r="K46" s="20" t="s">
        <v>0</v>
      </c>
    </row>
    <row r="47" spans="1:11" x14ac:dyDescent="0.2">
      <c r="A47" s="30" t="s">
        <v>1569</v>
      </c>
      <c r="B47" s="21" t="s">
        <v>1833</v>
      </c>
      <c r="C47" s="21" t="s">
        <v>1289</v>
      </c>
      <c r="D47" s="21">
        <v>2017</v>
      </c>
      <c r="E47" s="21" t="s">
        <v>928</v>
      </c>
      <c r="F47" s="21" t="s">
        <v>173</v>
      </c>
      <c r="G47" s="21" t="str">
        <f>HYPERLINK("http://dx.doi.org/10.1016/j.spc.2017.02.001","http://dx.doi.org/10.1016/j.spc.2017.02.001")</f>
        <v>http://dx.doi.org/10.1016/j.spc.2017.02.001</v>
      </c>
      <c r="H47" s="21" t="s">
        <v>2825</v>
      </c>
      <c r="I47" s="21" t="s">
        <v>2209</v>
      </c>
      <c r="J47" s="21" t="s">
        <v>2863</v>
      </c>
      <c r="K47" s="20" t="s">
        <v>0</v>
      </c>
    </row>
    <row r="48" spans="1:11" x14ac:dyDescent="0.2">
      <c r="A48" s="30" t="s">
        <v>2821</v>
      </c>
      <c r="B48" s="21" t="s">
        <v>426</v>
      </c>
      <c r="C48" s="21" t="s">
        <v>427</v>
      </c>
      <c r="D48" s="21">
        <v>2021</v>
      </c>
      <c r="E48" s="21" t="s">
        <v>41</v>
      </c>
      <c r="F48" s="21" t="s">
        <v>90</v>
      </c>
      <c r="G48" s="21" t="str">
        <f>HYPERLINK("http://dx.doi.org/10.3390/en14113184","http://dx.doi.org/10.3390/en14113184")</f>
        <v>http://dx.doi.org/10.3390/en14113184</v>
      </c>
      <c r="H48" s="21" t="s">
        <v>2826</v>
      </c>
      <c r="I48" s="21" t="s">
        <v>2835</v>
      </c>
      <c r="J48" s="21" t="s">
        <v>2218</v>
      </c>
      <c r="K48" s="20" t="s">
        <v>0</v>
      </c>
    </row>
    <row r="49" spans="1:11" x14ac:dyDescent="0.2">
      <c r="A49" s="30" t="s">
        <v>1569</v>
      </c>
      <c r="B49" s="21" t="s">
        <v>1919</v>
      </c>
      <c r="C49" s="21" t="s">
        <v>1290</v>
      </c>
      <c r="D49" s="21">
        <v>2016</v>
      </c>
      <c r="E49" s="21" t="s">
        <v>931</v>
      </c>
      <c r="F49" s="21" t="s">
        <v>1238</v>
      </c>
      <c r="G49" s="21" t="str">
        <f>HYPERLINK("http://dx.doi.org/10.1016/j.compchemeng.2016.03.017","http://dx.doi.org/10.1016/j.compchemeng.2016.03.017")</f>
        <v>http://dx.doi.org/10.1016/j.compchemeng.2016.03.017</v>
      </c>
      <c r="H49" s="21" t="s">
        <v>2826</v>
      </c>
      <c r="I49" s="21" t="s">
        <v>2900</v>
      </c>
      <c r="J49" s="21" t="s">
        <v>2828</v>
      </c>
      <c r="K49" s="20" t="s">
        <v>0</v>
      </c>
    </row>
    <row r="50" spans="1:11" x14ac:dyDescent="0.2">
      <c r="A50" s="30" t="s">
        <v>2821</v>
      </c>
      <c r="B50" s="21" t="s">
        <v>1102</v>
      </c>
      <c r="C50" s="21" t="s">
        <v>1103</v>
      </c>
      <c r="D50" s="21">
        <v>2016</v>
      </c>
      <c r="E50" s="21" t="s">
        <v>925</v>
      </c>
      <c r="F50" s="21" t="s">
        <v>144</v>
      </c>
      <c r="G50" s="21" t="str">
        <f>HYPERLINK("http://dx.doi.org/10.1016/j.jclepro.2015.09.080","http://dx.doi.org/10.1016/j.jclepro.2015.09.080")</f>
        <v>http://dx.doi.org/10.1016/j.jclepro.2015.09.080</v>
      </c>
      <c r="H50" s="21" t="s">
        <v>2826</v>
      </c>
      <c r="I50" s="21" t="s">
        <v>2900</v>
      </c>
      <c r="J50" s="21" t="s">
        <v>2828</v>
      </c>
      <c r="K50" s="20" t="s">
        <v>0</v>
      </c>
    </row>
    <row r="51" spans="1:11" x14ac:dyDescent="0.2">
      <c r="A51" s="30" t="s">
        <v>2821</v>
      </c>
      <c r="B51" s="21" t="s">
        <v>465</v>
      </c>
      <c r="C51" s="21" t="s">
        <v>466</v>
      </c>
      <c r="D51" s="21">
        <v>2019</v>
      </c>
      <c r="E51" s="21" t="s">
        <v>924</v>
      </c>
      <c r="F51" s="21" t="s">
        <v>357</v>
      </c>
      <c r="G51" s="21" t="str">
        <f>HYPERLINK("http://dx.doi.org/10.1021/acs.est.9b01615","http://dx.doi.org/10.1021/acs.est.9b01615")</f>
        <v>http://dx.doi.org/10.1021/acs.est.9b01615</v>
      </c>
      <c r="H51" s="21" t="s">
        <v>2825</v>
      </c>
      <c r="I51" s="21" t="s">
        <v>2835</v>
      </c>
      <c r="J51" s="21" t="s">
        <v>2214</v>
      </c>
      <c r="K51" s="20" t="s">
        <v>0</v>
      </c>
    </row>
    <row r="52" spans="1:11" x14ac:dyDescent="0.2">
      <c r="A52" s="30" t="s">
        <v>2821</v>
      </c>
      <c r="B52" s="21" t="s">
        <v>1030</v>
      </c>
      <c r="C52" s="21" t="s">
        <v>57</v>
      </c>
      <c r="D52" s="21">
        <v>2022</v>
      </c>
      <c r="E52" s="21" t="s">
        <v>923</v>
      </c>
      <c r="F52" s="21" t="s">
        <v>127</v>
      </c>
      <c r="G52" s="21" t="str">
        <f>HYPERLINK("http://dx.doi.org/10.1111/jiec.13288","http://dx.doi.org/10.1111/jiec.13288")</f>
        <v>http://dx.doi.org/10.1111/jiec.13288</v>
      </c>
      <c r="H52" s="21" t="s">
        <v>2826</v>
      </c>
      <c r="I52" s="21" t="s">
        <v>2900</v>
      </c>
      <c r="J52" s="21" t="s">
        <v>2828</v>
      </c>
      <c r="K52" s="20" t="s">
        <v>0</v>
      </c>
    </row>
    <row r="53" spans="1:11" x14ac:dyDescent="0.2">
      <c r="A53" s="30" t="s">
        <v>1569</v>
      </c>
      <c r="B53" s="21" t="s">
        <v>1842</v>
      </c>
      <c r="C53" s="21" t="s">
        <v>1291</v>
      </c>
      <c r="D53" s="21">
        <v>2017</v>
      </c>
      <c r="E53" s="21" t="s">
        <v>1843</v>
      </c>
      <c r="F53" s="21" t="s">
        <v>1844</v>
      </c>
      <c r="G53" s="21" t="str">
        <f>HYPERLINK("http://dx.doi.org/10.1007/s11431-016-9094-y","http://dx.doi.org/10.1007/s11431-016-9094-y")</f>
        <v>http://dx.doi.org/10.1007/s11431-016-9094-y</v>
      </c>
      <c r="H53" s="21" t="s">
        <v>2826</v>
      </c>
      <c r="I53" s="21" t="s">
        <v>2900</v>
      </c>
      <c r="J53" s="21" t="s">
        <v>2828</v>
      </c>
      <c r="K53" s="20" t="s">
        <v>0</v>
      </c>
    </row>
    <row r="54" spans="1:11" x14ac:dyDescent="0.2">
      <c r="A54" s="30" t="s">
        <v>2821</v>
      </c>
      <c r="B54" s="21" t="s">
        <v>1027</v>
      </c>
      <c r="C54" s="21" t="s">
        <v>1028</v>
      </c>
      <c r="D54" s="21">
        <v>2018</v>
      </c>
      <c r="E54" s="21" t="s">
        <v>923</v>
      </c>
      <c r="F54" s="21" t="s">
        <v>1029</v>
      </c>
      <c r="G54" s="21" t="str">
        <f>HYPERLINK("http://dx.doi.org/10.1002/jpen.1026","http://dx.doi.org/10.1002/jpen.1026")</f>
        <v>http://dx.doi.org/10.1002/jpen.1026</v>
      </c>
      <c r="H54" s="21" t="s">
        <v>2826</v>
      </c>
      <c r="I54" s="21" t="s">
        <v>2836</v>
      </c>
      <c r="J54" s="21" t="s">
        <v>2830</v>
      </c>
      <c r="K54" s="20" t="s">
        <v>0</v>
      </c>
    </row>
    <row r="55" spans="1:11" x14ac:dyDescent="0.2">
      <c r="A55" s="30" t="s">
        <v>2821</v>
      </c>
      <c r="B55" s="21" t="s">
        <v>398</v>
      </c>
      <c r="C55" s="21" t="s">
        <v>399</v>
      </c>
      <c r="D55" s="21">
        <v>2020</v>
      </c>
      <c r="E55" s="21" t="s">
        <v>929</v>
      </c>
      <c r="F55" s="21" t="s">
        <v>400</v>
      </c>
      <c r="G55" s="21" t="str">
        <f>HYPERLINK("http://dx.doi.org/10.1007/s10811-019-01959-7","http://dx.doi.org/10.1007/s10811-019-01959-7")</f>
        <v>http://dx.doi.org/10.1007/s10811-019-01959-7</v>
      </c>
      <c r="H55" s="21" t="s">
        <v>2826</v>
      </c>
      <c r="I55" s="21" t="s">
        <v>2836</v>
      </c>
      <c r="J55" s="21" t="s">
        <v>2830</v>
      </c>
      <c r="K55" s="20" t="s">
        <v>0</v>
      </c>
    </row>
    <row r="56" spans="1:11" x14ac:dyDescent="0.2">
      <c r="A56" s="30" t="s">
        <v>2821</v>
      </c>
      <c r="B56" s="21" t="s">
        <v>155</v>
      </c>
      <c r="C56" s="21" t="s">
        <v>156</v>
      </c>
      <c r="D56" s="21">
        <v>2023</v>
      </c>
      <c r="E56" s="21" t="s">
        <v>41</v>
      </c>
      <c r="F56" s="21" t="s">
        <v>157</v>
      </c>
      <c r="G56" s="21" t="str">
        <f>HYPERLINK("http://dx.doi.org/10.3390/fermentation9090839","http://dx.doi.org/10.3390/fermentation9090839")</f>
        <v>http://dx.doi.org/10.3390/fermentation9090839</v>
      </c>
      <c r="H56" s="21" t="s">
        <v>2826</v>
      </c>
      <c r="I56" s="21" t="s">
        <v>2835</v>
      </c>
      <c r="J56" s="21" t="s">
        <v>2218</v>
      </c>
      <c r="K56" s="20" t="s">
        <v>0</v>
      </c>
    </row>
    <row r="57" spans="1:11" x14ac:dyDescent="0.2">
      <c r="A57" s="30" t="s">
        <v>2821</v>
      </c>
      <c r="B57" s="21" t="s">
        <v>724</v>
      </c>
      <c r="C57" s="21" t="s">
        <v>3</v>
      </c>
      <c r="D57" s="21">
        <v>2023</v>
      </c>
      <c r="E57" s="21" t="s">
        <v>925</v>
      </c>
      <c r="F57" s="21" t="s">
        <v>53</v>
      </c>
      <c r="G57" s="21" t="str">
        <f>HYPERLINK("http://dx.doi.org/10.1016/j.fuel.2022.127316","http://dx.doi.org/10.1016/j.fuel.2022.127316")</f>
        <v>http://dx.doi.org/10.1016/j.fuel.2022.127316</v>
      </c>
      <c r="H57" s="21" t="s">
        <v>2826</v>
      </c>
      <c r="I57" s="21" t="s">
        <v>2835</v>
      </c>
      <c r="J57" s="21" t="s">
        <v>2218</v>
      </c>
      <c r="K57" s="20" t="s">
        <v>0</v>
      </c>
    </row>
    <row r="58" spans="1:11" x14ac:dyDescent="0.2">
      <c r="A58" s="30" t="s">
        <v>2821</v>
      </c>
      <c r="B58" s="21" t="s">
        <v>1105</v>
      </c>
      <c r="C58" s="21" t="s">
        <v>1067</v>
      </c>
      <c r="D58" s="21">
        <v>2023</v>
      </c>
      <c r="E58" s="21" t="s">
        <v>41</v>
      </c>
      <c r="F58" s="21" t="s">
        <v>54</v>
      </c>
      <c r="G58" s="21" t="str">
        <f>HYPERLINK("http://dx.doi.org/10.3390/su15076201","http://dx.doi.org/10.3390/su15076201")</f>
        <v>http://dx.doi.org/10.3390/su15076201</v>
      </c>
      <c r="H58" s="21" t="s">
        <v>2826</v>
      </c>
      <c r="I58" s="21" t="s">
        <v>2900</v>
      </c>
      <c r="J58" s="21" t="s">
        <v>2828</v>
      </c>
      <c r="K58" s="20" t="s">
        <v>0</v>
      </c>
    </row>
    <row r="59" spans="1:11" x14ac:dyDescent="0.2">
      <c r="A59" s="30" t="s">
        <v>2821</v>
      </c>
      <c r="B59" s="21" t="s">
        <v>634</v>
      </c>
      <c r="C59" s="21" t="s">
        <v>635</v>
      </c>
      <c r="D59" s="21">
        <v>2024</v>
      </c>
      <c r="E59" s="21" t="s">
        <v>928</v>
      </c>
      <c r="F59" s="21" t="s">
        <v>197</v>
      </c>
      <c r="G59" s="21" t="str">
        <f>HYPERLINK("http://dx.doi.org/10.1016/j.scitotenv.2023.169684","http://dx.doi.org/10.1016/j.scitotenv.2023.169684")</f>
        <v>http://dx.doi.org/10.1016/j.scitotenv.2023.169684</v>
      </c>
      <c r="H59" s="21" t="s">
        <v>2826</v>
      </c>
      <c r="I59" s="21" t="s">
        <v>2836</v>
      </c>
      <c r="J59" s="21" t="s">
        <v>2830</v>
      </c>
      <c r="K59" s="20" t="s">
        <v>0</v>
      </c>
    </row>
    <row r="60" spans="1:11" x14ac:dyDescent="0.2">
      <c r="A60" s="30" t="s">
        <v>2821</v>
      </c>
      <c r="B60" s="21" t="s">
        <v>755</v>
      </c>
      <c r="C60" s="21" t="s">
        <v>756</v>
      </c>
      <c r="D60" s="21">
        <v>2013</v>
      </c>
      <c r="E60" s="21" t="s">
        <v>1046</v>
      </c>
      <c r="F60" s="21" t="s">
        <v>757</v>
      </c>
      <c r="G60" s="21" t="str">
        <f>HYPERLINK("http://dx.doi.org/10.1007/s40264-013-0113-z","http://dx.doi.org/10.1007/s40264-013-0113-z")</f>
        <v>http://dx.doi.org/10.1007/s40264-013-0113-z</v>
      </c>
      <c r="H60" s="21" t="s">
        <v>2826</v>
      </c>
      <c r="I60" s="21" t="s">
        <v>2836</v>
      </c>
      <c r="J60" s="21" t="s">
        <v>2830</v>
      </c>
      <c r="K60" s="20" t="s">
        <v>0</v>
      </c>
    </row>
    <row r="61" spans="1:11" x14ac:dyDescent="0.2">
      <c r="A61" s="30" t="s">
        <v>1569</v>
      </c>
      <c r="B61" s="21" t="s">
        <v>2051</v>
      </c>
      <c r="C61" s="21" t="s">
        <v>1292</v>
      </c>
      <c r="D61" s="21">
        <v>2012</v>
      </c>
      <c r="E61" s="21" t="s">
        <v>925</v>
      </c>
      <c r="F61" s="21" t="s">
        <v>56</v>
      </c>
      <c r="G61" s="21" t="str">
        <f>HYPERLINK("http://dx.doi.org/10.1016/j.enpol.2012.09.025","http://dx.doi.org/10.1016/j.enpol.2012.09.025")</f>
        <v>http://dx.doi.org/10.1016/j.enpol.2012.09.025</v>
      </c>
      <c r="H61" s="21" t="s">
        <v>2825</v>
      </c>
      <c r="I61" s="21" t="s">
        <v>2833</v>
      </c>
      <c r="J61" s="21" t="s">
        <v>2827</v>
      </c>
      <c r="K61" s="20" t="s">
        <v>0</v>
      </c>
    </row>
    <row r="62" spans="1:11" x14ac:dyDescent="0.2">
      <c r="A62" s="30" t="s">
        <v>2821</v>
      </c>
      <c r="B62" s="21" t="s">
        <v>287</v>
      </c>
      <c r="C62" s="21" t="s">
        <v>288</v>
      </c>
      <c r="D62" s="21">
        <v>2021</v>
      </c>
      <c r="E62" s="21" t="s">
        <v>923</v>
      </c>
      <c r="F62" s="21" t="s">
        <v>289</v>
      </c>
      <c r="G62" s="21" t="str">
        <f>HYPERLINK("http://dx.doi.org/10.1002/bbb.2276","http://dx.doi.org/10.1002/bbb.2276")</f>
        <v>http://dx.doi.org/10.1002/bbb.2276</v>
      </c>
      <c r="H62" s="21" t="s">
        <v>2826</v>
      </c>
      <c r="I62" s="21" t="s">
        <v>2836</v>
      </c>
      <c r="J62" s="21" t="s">
        <v>2830</v>
      </c>
      <c r="K62" s="20" t="s">
        <v>0</v>
      </c>
    </row>
    <row r="63" spans="1:11" x14ac:dyDescent="0.2">
      <c r="A63" s="30" t="s">
        <v>2821</v>
      </c>
      <c r="B63" s="21" t="s">
        <v>373</v>
      </c>
      <c r="C63" s="21" t="s">
        <v>374</v>
      </c>
      <c r="D63" s="21">
        <v>2023</v>
      </c>
      <c r="E63" s="21" t="s">
        <v>923</v>
      </c>
      <c r="F63" s="21" t="s">
        <v>127</v>
      </c>
      <c r="G63" s="21" t="str">
        <f>HYPERLINK("http://dx.doi.org/10.1111/jiec.13345","http://dx.doi.org/10.1111/jiec.13345")</f>
        <v>http://dx.doi.org/10.1111/jiec.13345</v>
      </c>
      <c r="H63" s="21" t="s">
        <v>2826</v>
      </c>
      <c r="I63" s="21" t="s">
        <v>2835</v>
      </c>
      <c r="J63" s="21" t="s">
        <v>2218</v>
      </c>
      <c r="K63" s="20" t="s">
        <v>0</v>
      </c>
    </row>
    <row r="64" spans="1:11" x14ac:dyDescent="0.2">
      <c r="A64" s="30" t="s">
        <v>2821</v>
      </c>
      <c r="B64" s="21" t="s">
        <v>1118</v>
      </c>
      <c r="C64" s="21" t="s">
        <v>1077</v>
      </c>
      <c r="D64" s="21">
        <v>2023</v>
      </c>
      <c r="E64" s="21" t="s">
        <v>925</v>
      </c>
      <c r="F64" s="21" t="s">
        <v>144</v>
      </c>
      <c r="G64" s="21" t="str">
        <f>HYPERLINK("http://dx.doi.org/10.1016/j.jclepro.2023.137017","http://dx.doi.org/10.1016/j.jclepro.2023.137017")</f>
        <v>http://dx.doi.org/10.1016/j.jclepro.2023.137017</v>
      </c>
      <c r="H64" s="21" t="s">
        <v>2826</v>
      </c>
      <c r="I64" s="21" t="s">
        <v>2900</v>
      </c>
      <c r="J64" s="21" t="s">
        <v>2828</v>
      </c>
      <c r="K64" s="20" t="s">
        <v>0</v>
      </c>
    </row>
    <row r="65" spans="1:11" x14ac:dyDescent="0.2">
      <c r="A65" s="30" t="s">
        <v>1569</v>
      </c>
      <c r="B65" s="21" t="s">
        <v>1779</v>
      </c>
      <c r="C65" s="21" t="s">
        <v>1293</v>
      </c>
      <c r="D65" s="21">
        <v>2018</v>
      </c>
      <c r="E65" s="21" t="s">
        <v>41</v>
      </c>
      <c r="F65" s="21" t="s">
        <v>90</v>
      </c>
      <c r="G65" s="21" t="str">
        <f>HYPERLINK("http://dx.doi.org/10.3390/en11061412","http://dx.doi.org/10.3390/en11061412")</f>
        <v>http://dx.doi.org/10.3390/en11061412</v>
      </c>
      <c r="H65" s="21" t="s">
        <v>2826</v>
      </c>
      <c r="I65" s="21" t="s">
        <v>2832</v>
      </c>
      <c r="J65" s="21" t="s">
        <v>2847</v>
      </c>
      <c r="K65" s="20" t="s">
        <v>0</v>
      </c>
    </row>
    <row r="66" spans="1:11" x14ac:dyDescent="0.2">
      <c r="A66" s="30" t="s">
        <v>1569</v>
      </c>
      <c r="B66" s="21" t="s">
        <v>2003</v>
      </c>
      <c r="C66" s="21" t="s">
        <v>1294</v>
      </c>
      <c r="D66" s="21">
        <v>2014</v>
      </c>
      <c r="E66" s="21" t="s">
        <v>925</v>
      </c>
      <c r="F66" s="21" t="s">
        <v>167</v>
      </c>
      <c r="G66" s="21" t="str">
        <f>HYPERLINK("http://dx.doi.org/10.1016/j.apenergy.2014.07.066","http://dx.doi.org/10.1016/j.apenergy.2014.07.066")</f>
        <v>http://dx.doi.org/10.1016/j.apenergy.2014.07.066</v>
      </c>
      <c r="H66" s="21" t="s">
        <v>2825</v>
      </c>
      <c r="I66" s="21" t="s">
        <v>2209</v>
      </c>
      <c r="J66" s="21" t="s">
        <v>2862</v>
      </c>
      <c r="K66" s="20" t="s">
        <v>0</v>
      </c>
    </row>
    <row r="67" spans="1:11" x14ac:dyDescent="0.2">
      <c r="A67" s="30" t="s">
        <v>1569</v>
      </c>
      <c r="B67" s="21" t="s">
        <v>1717</v>
      </c>
      <c r="C67" s="21" t="s">
        <v>1602</v>
      </c>
      <c r="D67" s="21">
        <v>2019</v>
      </c>
      <c r="E67" s="21" t="s">
        <v>931</v>
      </c>
      <c r="F67" s="21" t="s">
        <v>306</v>
      </c>
      <c r="G67" s="21" t="str">
        <f>HYPERLINK("http://dx.doi.org/10.1016/j.rser.2019.02.031","http://dx.doi.org/10.1016/j.rser.2019.02.031")</f>
        <v>http://dx.doi.org/10.1016/j.rser.2019.02.031</v>
      </c>
      <c r="H67" s="21" t="s">
        <v>2826</v>
      </c>
      <c r="I67" s="21" t="s">
        <v>2832</v>
      </c>
      <c r="J67" s="21" t="s">
        <v>2847</v>
      </c>
      <c r="K67" s="20" t="s">
        <v>0</v>
      </c>
    </row>
    <row r="68" spans="1:11" x14ac:dyDescent="0.2">
      <c r="A68" s="30" t="s">
        <v>1569</v>
      </c>
      <c r="B68" s="21" t="s">
        <v>2097</v>
      </c>
      <c r="C68" s="21" t="s">
        <v>1295</v>
      </c>
      <c r="D68" s="21">
        <v>2009</v>
      </c>
      <c r="E68" s="21" t="s">
        <v>995</v>
      </c>
      <c r="F68" s="21" t="s">
        <v>2098</v>
      </c>
      <c r="G68" s="21" t="str">
        <f>HYPERLINK("http://dx.doi.org/10.1016/j.ecolecon.2007.11.017","http://dx.doi.org/10.1016/j.ecolecon.2007.11.017")</f>
        <v>http://dx.doi.org/10.1016/j.ecolecon.2007.11.017</v>
      </c>
      <c r="H68" s="21" t="s">
        <v>2826</v>
      </c>
      <c r="I68" s="21" t="s">
        <v>2835</v>
      </c>
      <c r="J68" s="21" t="s">
        <v>2219</v>
      </c>
      <c r="K68" s="20" t="s">
        <v>0</v>
      </c>
    </row>
    <row r="69" spans="1:11" x14ac:dyDescent="0.2">
      <c r="A69" s="30" t="s">
        <v>1569</v>
      </c>
      <c r="B69" s="21" t="s">
        <v>2065</v>
      </c>
      <c r="C69" s="21" t="s">
        <v>1296</v>
      </c>
      <c r="D69" s="21">
        <v>2012</v>
      </c>
      <c r="E69" s="21" t="s">
        <v>931</v>
      </c>
      <c r="F69" s="21" t="s">
        <v>809</v>
      </c>
      <c r="G69" s="21" t="str">
        <f>HYPERLINK("http://dx.doi.org/10.1016/j.tra.2011.11.011","http://dx.doi.org/10.1016/j.tra.2011.11.011")</f>
        <v>http://dx.doi.org/10.1016/j.tra.2011.11.011</v>
      </c>
      <c r="H69" s="21" t="s">
        <v>2826</v>
      </c>
      <c r="I69" s="21" t="s">
        <v>2836</v>
      </c>
      <c r="J69" s="21" t="s">
        <v>2830</v>
      </c>
      <c r="K69" s="20" t="s">
        <v>0</v>
      </c>
    </row>
    <row r="70" spans="1:11" x14ac:dyDescent="0.2">
      <c r="A70" s="30" t="s">
        <v>1569</v>
      </c>
      <c r="B70" s="21" t="s">
        <v>1913</v>
      </c>
      <c r="C70" s="21" t="s">
        <v>1297</v>
      </c>
      <c r="D70" s="21">
        <v>2016</v>
      </c>
      <c r="E70" s="21" t="s">
        <v>931</v>
      </c>
      <c r="F70" s="21" t="s">
        <v>228</v>
      </c>
      <c r="G70" s="21" t="str">
        <f>HYPERLINK("http://dx.doi.org/10.1016/j.biombioe.2016.06.010","http://dx.doi.org/10.1016/j.biombioe.2016.06.010")</f>
        <v>http://dx.doi.org/10.1016/j.biombioe.2016.06.010</v>
      </c>
      <c r="H70" s="21" t="s">
        <v>2826</v>
      </c>
      <c r="I70" s="21" t="s">
        <v>2832</v>
      </c>
      <c r="J70" s="21" t="s">
        <v>2847</v>
      </c>
      <c r="K70" s="20" t="s">
        <v>0</v>
      </c>
    </row>
    <row r="71" spans="1:11" x14ac:dyDescent="0.2">
      <c r="A71" s="30" t="s">
        <v>1569</v>
      </c>
      <c r="B71" s="21" t="s">
        <v>1960</v>
      </c>
      <c r="C71" s="21" t="s">
        <v>1298</v>
      </c>
      <c r="D71" s="21">
        <v>2015</v>
      </c>
      <c r="E71" s="21" t="s">
        <v>925</v>
      </c>
      <c r="F71" s="21" t="s">
        <v>167</v>
      </c>
      <c r="G71" s="21" t="str">
        <f>HYPERLINK("http://dx.doi.org/10.1016/j.apenergy.2015.01.019","http://dx.doi.org/10.1016/j.apenergy.2015.01.019")</f>
        <v>http://dx.doi.org/10.1016/j.apenergy.2015.01.019</v>
      </c>
      <c r="H71" s="21" t="s">
        <v>2826</v>
      </c>
      <c r="I71" s="21" t="s">
        <v>2835</v>
      </c>
      <c r="J71" s="21" t="s">
        <v>2218</v>
      </c>
      <c r="K71" s="20" t="s">
        <v>0</v>
      </c>
    </row>
    <row r="72" spans="1:11" x14ac:dyDescent="0.2">
      <c r="A72" s="30" t="s">
        <v>2821</v>
      </c>
      <c r="B72" s="21" t="s">
        <v>192</v>
      </c>
      <c r="C72" s="21" t="s">
        <v>193</v>
      </c>
      <c r="D72" s="21">
        <v>2021</v>
      </c>
      <c r="E72" s="21" t="s">
        <v>942</v>
      </c>
      <c r="F72" s="21" t="s">
        <v>194</v>
      </c>
      <c r="G72" s="21" t="str">
        <f>HYPERLINK("http://dx.doi.org/10.1002/ente.202000964","http://dx.doi.org/10.1002/ente.202000964")</f>
        <v>http://dx.doi.org/10.1002/ente.202000964</v>
      </c>
      <c r="H72" s="21" t="s">
        <v>2826</v>
      </c>
      <c r="I72" s="21" t="s">
        <v>2835</v>
      </c>
      <c r="J72" s="21" t="s">
        <v>2218</v>
      </c>
      <c r="K72" s="20" t="s">
        <v>0</v>
      </c>
    </row>
    <row r="73" spans="1:11" x14ac:dyDescent="0.2">
      <c r="A73" s="30" t="s">
        <v>2821</v>
      </c>
      <c r="B73" s="21" t="s">
        <v>1152</v>
      </c>
      <c r="C73" s="21" t="s">
        <v>1153</v>
      </c>
      <c r="D73" s="21">
        <v>2017</v>
      </c>
      <c r="E73" s="21" t="s">
        <v>991</v>
      </c>
      <c r="F73" s="21" t="s">
        <v>1154</v>
      </c>
      <c r="G73" s="21" t="str">
        <f>HYPERLINK("http://dx.doi.org/10.1080/10643389.2013.782168","http://dx.doi.org/10.1080/10643389.2013.782168")</f>
        <v>http://dx.doi.org/10.1080/10643389.2013.782168</v>
      </c>
      <c r="H73" s="21" t="s">
        <v>2826</v>
      </c>
      <c r="I73" s="21" t="s">
        <v>2900</v>
      </c>
      <c r="J73" s="21" t="s">
        <v>2828</v>
      </c>
      <c r="K73" s="20" t="s">
        <v>0</v>
      </c>
    </row>
    <row r="74" spans="1:11" x14ac:dyDescent="0.2">
      <c r="A74" s="30" t="s">
        <v>2821</v>
      </c>
      <c r="B74" s="21" t="s">
        <v>1152</v>
      </c>
      <c r="C74" s="21" t="s">
        <v>1090</v>
      </c>
      <c r="D74" s="21">
        <v>2014</v>
      </c>
      <c r="E74" s="21" t="s">
        <v>991</v>
      </c>
      <c r="F74" s="21" t="s">
        <v>1154</v>
      </c>
      <c r="G74" s="21" t="str">
        <f>HYPERLINK("http://dx.doi.org/10.1080/10643389.2012.741312","http://dx.doi.org/10.1080/10643389.2012.741312")</f>
        <v>http://dx.doi.org/10.1080/10643389.2012.741312</v>
      </c>
      <c r="H74" s="21" t="s">
        <v>2826</v>
      </c>
      <c r="I74" s="21" t="s">
        <v>2900</v>
      </c>
      <c r="J74" s="21" t="s">
        <v>2828</v>
      </c>
      <c r="K74" s="20" t="s">
        <v>0</v>
      </c>
    </row>
    <row r="75" spans="1:11" x14ac:dyDescent="0.2">
      <c r="A75" s="30" t="s">
        <v>1569</v>
      </c>
      <c r="B75" s="21" t="s">
        <v>1895</v>
      </c>
      <c r="C75" s="21" t="s">
        <v>1299</v>
      </c>
      <c r="D75" s="21">
        <v>2016</v>
      </c>
      <c r="E75" s="21" t="s">
        <v>928</v>
      </c>
      <c r="F75" s="21" t="s">
        <v>1864</v>
      </c>
      <c r="G75" s="21" t="str">
        <f>HYPERLINK("http://dx.doi.org/10.1016/j.algal.2016.09.022","http://dx.doi.org/10.1016/j.algal.2016.09.022")</f>
        <v>http://dx.doi.org/10.1016/j.algal.2016.09.022</v>
      </c>
      <c r="H75" s="21" t="s">
        <v>2826</v>
      </c>
      <c r="I75" s="21" t="s">
        <v>2835</v>
      </c>
      <c r="J75" s="21" t="s">
        <v>2218</v>
      </c>
      <c r="K75" s="20" t="s">
        <v>0</v>
      </c>
    </row>
    <row r="76" spans="1:11" x14ac:dyDescent="0.2">
      <c r="A76" s="30" t="s">
        <v>1569</v>
      </c>
      <c r="B76" s="21" t="s">
        <v>1788</v>
      </c>
      <c r="C76" s="21" t="s">
        <v>1300</v>
      </c>
      <c r="D76" s="21">
        <v>2018</v>
      </c>
      <c r="E76" s="21" t="s">
        <v>924</v>
      </c>
      <c r="F76" s="21" t="s">
        <v>175</v>
      </c>
      <c r="G76" s="21" t="str">
        <f>HYPERLINK("http://dx.doi.org/10.1021/acssuschemeng.7b03949","http://dx.doi.org/10.1021/acssuschemeng.7b03949")</f>
        <v>http://dx.doi.org/10.1021/acssuschemeng.7b03949</v>
      </c>
      <c r="H76" s="21" t="s">
        <v>2826</v>
      </c>
      <c r="I76" s="21" t="s">
        <v>2835</v>
      </c>
      <c r="J76" s="21" t="s">
        <v>2218</v>
      </c>
      <c r="K76" s="20" t="s">
        <v>0</v>
      </c>
    </row>
    <row r="77" spans="1:11" x14ac:dyDescent="0.2">
      <c r="A77" s="30" t="s">
        <v>1569</v>
      </c>
      <c r="B77" s="21" t="s">
        <v>1675</v>
      </c>
      <c r="C77" s="21" t="s">
        <v>1571</v>
      </c>
      <c r="D77" s="21">
        <v>2019</v>
      </c>
      <c r="E77" s="21" t="s">
        <v>926</v>
      </c>
      <c r="F77" s="21" t="s">
        <v>209</v>
      </c>
      <c r="G77" s="21" t="str">
        <f>HYPERLINK("http://dx.doi.org/10.1007/s11367-019-01640-8","http://dx.doi.org/10.1007/s11367-019-01640-8")</f>
        <v>http://dx.doi.org/10.1007/s11367-019-01640-8</v>
      </c>
      <c r="H77" s="21" t="s">
        <v>2825</v>
      </c>
      <c r="I77" s="21" t="s">
        <v>2835</v>
      </c>
      <c r="J77" s="21" t="s">
        <v>2218</v>
      </c>
      <c r="K77" s="20" t="s">
        <v>0</v>
      </c>
    </row>
    <row r="78" spans="1:11" x14ac:dyDescent="0.2">
      <c r="A78" s="30" t="s">
        <v>2821</v>
      </c>
      <c r="B78" s="21" t="s">
        <v>549</v>
      </c>
      <c r="C78" s="21" t="s">
        <v>550</v>
      </c>
      <c r="D78" s="21">
        <v>2018</v>
      </c>
      <c r="E78" s="21" t="s">
        <v>996</v>
      </c>
      <c r="F78" s="21" t="s">
        <v>551</v>
      </c>
      <c r="G78" s="21" t="str">
        <f>HYPERLINK("http://dx.doi.org/10.1177/1066480718806519","http://dx.doi.org/10.1177/1066480718806519")</f>
        <v>http://dx.doi.org/10.1177/1066480718806519</v>
      </c>
      <c r="H78" s="21" t="s">
        <v>2826</v>
      </c>
      <c r="I78" s="21" t="s">
        <v>2836</v>
      </c>
      <c r="J78" s="21" t="s">
        <v>2830</v>
      </c>
      <c r="K78" s="20" t="s">
        <v>0</v>
      </c>
    </row>
    <row r="79" spans="1:11" x14ac:dyDescent="0.2">
      <c r="A79" s="30" t="s">
        <v>1569</v>
      </c>
      <c r="B79" s="21" t="s">
        <v>2055</v>
      </c>
      <c r="C79" s="21" t="s">
        <v>1301</v>
      </c>
      <c r="D79" s="21">
        <v>2012</v>
      </c>
      <c r="E79" s="21" t="s">
        <v>928</v>
      </c>
      <c r="F79" s="21" t="s">
        <v>2056</v>
      </c>
      <c r="G79" s="21" t="str">
        <f>HYPERLINK("http://dx.doi.org/10.1016/j.livsci.2012.04.012","http://dx.doi.org/10.1016/j.livsci.2012.04.012")</f>
        <v>http://dx.doi.org/10.1016/j.livsci.2012.04.012</v>
      </c>
      <c r="H79" s="21" t="s">
        <v>2826</v>
      </c>
      <c r="I79" s="21" t="s">
        <v>2835</v>
      </c>
      <c r="J79" s="21" t="s">
        <v>2219</v>
      </c>
      <c r="K79" s="20" t="s">
        <v>0</v>
      </c>
    </row>
    <row r="80" spans="1:11" x14ac:dyDescent="0.2">
      <c r="A80" s="30" t="s">
        <v>2821</v>
      </c>
      <c r="B80" s="21" t="s">
        <v>2283</v>
      </c>
      <c r="C80" s="21" t="s">
        <v>28</v>
      </c>
      <c r="D80" s="21">
        <v>2020</v>
      </c>
      <c r="E80" s="21" t="s">
        <v>923</v>
      </c>
      <c r="F80" s="21" t="s">
        <v>127</v>
      </c>
      <c r="G80" s="21" t="str">
        <f>HYPERLINK("http://dx.doi.org/10.1111/jiec.12825","http://dx.doi.org/10.1111/jiec.12825")</f>
        <v>http://dx.doi.org/10.1111/jiec.12825</v>
      </c>
      <c r="H80" s="21" t="s">
        <v>2825</v>
      </c>
      <c r="I80" s="21" t="s">
        <v>2835</v>
      </c>
      <c r="J80" s="21" t="s">
        <v>2218</v>
      </c>
      <c r="K80" s="20" t="s">
        <v>0</v>
      </c>
    </row>
    <row r="81" spans="1:11" x14ac:dyDescent="0.2">
      <c r="A81" s="30" t="s">
        <v>2821</v>
      </c>
      <c r="B81" s="21" t="s">
        <v>719</v>
      </c>
      <c r="C81" s="21" t="s">
        <v>720</v>
      </c>
      <c r="D81" s="21">
        <v>2011</v>
      </c>
      <c r="E81" s="21" t="s">
        <v>941</v>
      </c>
      <c r="F81" s="21" t="s">
        <v>721</v>
      </c>
      <c r="G81" s="21" t="str">
        <f>HYPERLINK("http://dx.doi.org/10.1002/msj.20251","http://dx.doi.org/10.1002/msj.20251")</f>
        <v>http://dx.doi.org/10.1002/msj.20251</v>
      </c>
      <c r="H81" s="21" t="s">
        <v>2826</v>
      </c>
      <c r="I81" s="21" t="s">
        <v>2836</v>
      </c>
      <c r="J81" s="21" t="s">
        <v>2830</v>
      </c>
      <c r="K81" s="20" t="s">
        <v>0</v>
      </c>
    </row>
    <row r="82" spans="1:11" x14ac:dyDescent="0.2">
      <c r="A82" s="30" t="s">
        <v>1569</v>
      </c>
      <c r="B82" s="21" t="s">
        <v>1930</v>
      </c>
      <c r="C82" s="21" t="s">
        <v>1302</v>
      </c>
      <c r="D82" s="21">
        <v>2016</v>
      </c>
      <c r="E82" s="21" t="s">
        <v>925</v>
      </c>
      <c r="F82" s="21" t="s">
        <v>167</v>
      </c>
      <c r="G82" s="21" t="str">
        <f>HYPERLINK("http://dx.doi.org/10.1016/j.apenergy.2016.02.013","http://dx.doi.org/10.1016/j.apenergy.2016.02.013")</f>
        <v>http://dx.doi.org/10.1016/j.apenergy.2016.02.013</v>
      </c>
      <c r="H82" s="21" t="s">
        <v>2826</v>
      </c>
      <c r="I82" s="21" t="s">
        <v>2835</v>
      </c>
      <c r="J82" s="21" t="s">
        <v>2218</v>
      </c>
      <c r="K82" s="20" t="s">
        <v>0</v>
      </c>
    </row>
    <row r="83" spans="1:11" x14ac:dyDescent="0.2">
      <c r="A83" s="30" t="s">
        <v>1569</v>
      </c>
      <c r="B83" s="21" t="s">
        <v>1220</v>
      </c>
      <c r="C83" s="21" t="s">
        <v>116</v>
      </c>
      <c r="D83" s="21">
        <v>2016</v>
      </c>
      <c r="E83" s="21" t="s">
        <v>923</v>
      </c>
      <c r="F83" s="21" t="s">
        <v>127</v>
      </c>
      <c r="G83" s="21" t="str">
        <f>HYPERLINK("http://dx.doi.org/10.1111/jiec.12342","http://dx.doi.org/10.1111/jiec.12342")</f>
        <v>http://dx.doi.org/10.1111/jiec.12342</v>
      </c>
      <c r="H83" s="21" t="s">
        <v>1230</v>
      </c>
      <c r="I83" s="21" t="s">
        <v>2262</v>
      </c>
      <c r="J83" s="21" t="s">
        <v>2262</v>
      </c>
      <c r="K83" s="20" t="s">
        <v>0</v>
      </c>
    </row>
    <row r="84" spans="1:11" x14ac:dyDescent="0.2">
      <c r="A84" s="30" t="s">
        <v>2821</v>
      </c>
      <c r="B84" s="21" t="s">
        <v>474</v>
      </c>
      <c r="C84" s="21" t="s">
        <v>475</v>
      </c>
      <c r="D84" s="21">
        <v>2007</v>
      </c>
      <c r="E84" s="21" t="s">
        <v>925</v>
      </c>
      <c r="F84" s="21" t="s">
        <v>56</v>
      </c>
      <c r="G84" s="21" t="str">
        <f>HYPERLINK("http://dx.doi.org/10.1016/j.enpol.2007.08.005","http://dx.doi.org/10.1016/j.enpol.2007.08.005")</f>
        <v>http://dx.doi.org/10.1016/j.enpol.2007.08.005</v>
      </c>
      <c r="H84" s="21" t="s">
        <v>2825</v>
      </c>
      <c r="I84" s="21" t="s">
        <v>2832</v>
      </c>
      <c r="J84" s="21" t="s">
        <v>2231</v>
      </c>
      <c r="K84" s="20" t="s">
        <v>0</v>
      </c>
    </row>
    <row r="85" spans="1:11" x14ac:dyDescent="0.2">
      <c r="A85" s="30" t="s">
        <v>2822</v>
      </c>
      <c r="B85" s="21" t="s">
        <v>293</v>
      </c>
      <c r="C85" s="21" t="s">
        <v>61</v>
      </c>
      <c r="D85" s="21">
        <v>2016</v>
      </c>
      <c r="E85" s="21" t="s">
        <v>953</v>
      </c>
      <c r="F85" s="21" t="s">
        <v>294</v>
      </c>
      <c r="G85" s="21" t="str">
        <f>HYPERLINK("http://dx.doi.org/10.1088/1748-9326/11/1/014012","http://dx.doi.org/10.1088/1748-9326/11/1/014012")</f>
        <v>http://dx.doi.org/10.1088/1748-9326/11/1/014012</v>
      </c>
      <c r="H85" s="21" t="s">
        <v>1230</v>
      </c>
      <c r="I85" s="21" t="s">
        <v>2262</v>
      </c>
      <c r="J85" s="21" t="s">
        <v>2262</v>
      </c>
      <c r="K85" s="20" t="s">
        <v>0</v>
      </c>
    </row>
    <row r="86" spans="1:11" x14ac:dyDescent="0.2">
      <c r="A86" s="30" t="s">
        <v>1569</v>
      </c>
      <c r="B86" s="21" t="s">
        <v>1211</v>
      </c>
      <c r="C86" s="21" t="s">
        <v>63</v>
      </c>
      <c r="D86" s="21">
        <v>2019</v>
      </c>
      <c r="E86" s="21" t="s">
        <v>931</v>
      </c>
      <c r="F86" s="21" t="s">
        <v>306</v>
      </c>
      <c r="G86" s="21" t="str">
        <f>HYPERLINK("http://dx.doi.org/10.1016/j.rser.2019.03.030","http://dx.doi.org/10.1016/j.rser.2019.03.030")</f>
        <v>http://dx.doi.org/10.1016/j.rser.2019.03.030</v>
      </c>
      <c r="H86" s="21" t="s">
        <v>1230</v>
      </c>
      <c r="I86" s="21" t="s">
        <v>2262</v>
      </c>
      <c r="J86" s="21" t="s">
        <v>2262</v>
      </c>
      <c r="K86" s="20" t="s">
        <v>0</v>
      </c>
    </row>
    <row r="87" spans="1:11" x14ac:dyDescent="0.2">
      <c r="A87" s="30" t="s">
        <v>2821</v>
      </c>
      <c r="B87" s="21" t="s">
        <v>955</v>
      </c>
      <c r="C87" s="21" t="s">
        <v>110</v>
      </c>
      <c r="D87" s="21">
        <v>2016</v>
      </c>
      <c r="E87" s="21" t="s">
        <v>923</v>
      </c>
      <c r="F87" s="21" t="s">
        <v>127</v>
      </c>
      <c r="G87" s="21" t="str">
        <f>HYPERLINK("http://dx.doi.org/10.1111/jiec.12378","http://dx.doi.org/10.1111/jiec.12378")</f>
        <v>http://dx.doi.org/10.1111/jiec.12378</v>
      </c>
      <c r="H87" s="21" t="s">
        <v>2825</v>
      </c>
      <c r="I87" s="21" t="s">
        <v>2835</v>
      </c>
      <c r="J87" s="21" t="s">
        <v>2850</v>
      </c>
      <c r="K87" s="20" t="s">
        <v>0</v>
      </c>
    </row>
    <row r="88" spans="1:11" x14ac:dyDescent="0.2">
      <c r="A88" s="30" t="s">
        <v>2821</v>
      </c>
      <c r="B88" s="21" t="s">
        <v>836</v>
      </c>
      <c r="C88" s="21" t="s">
        <v>837</v>
      </c>
      <c r="D88" s="21">
        <v>2007</v>
      </c>
      <c r="E88" s="21" t="s">
        <v>1065</v>
      </c>
      <c r="F88" s="21" t="s">
        <v>838</v>
      </c>
      <c r="G88" s="21" t="str">
        <f>HYPERLINK("http://dx.doi.org/10.1177/039463200702000108","http://dx.doi.org/10.1177/039463200702000108")</f>
        <v>http://dx.doi.org/10.1177/039463200702000108</v>
      </c>
      <c r="H88" s="21" t="s">
        <v>2826</v>
      </c>
      <c r="I88" s="21" t="s">
        <v>2836</v>
      </c>
      <c r="J88" s="21" t="s">
        <v>2830</v>
      </c>
      <c r="K88" s="20" t="s">
        <v>0</v>
      </c>
    </row>
    <row r="89" spans="1:11" x14ac:dyDescent="0.2">
      <c r="A89" s="30" t="s">
        <v>1569</v>
      </c>
      <c r="B89" s="21" t="s">
        <v>1723</v>
      </c>
      <c r="C89" s="21" t="s">
        <v>1608</v>
      </c>
      <c r="D89" s="21">
        <v>2019</v>
      </c>
      <c r="E89" s="21" t="s">
        <v>931</v>
      </c>
      <c r="F89" s="21" t="s">
        <v>1724</v>
      </c>
      <c r="G89" s="21" t="str">
        <f>HYPERLINK("http://dx.doi.org/10.1016/j.trc.2019.01.002","http://dx.doi.org/10.1016/j.trc.2019.01.002")</f>
        <v>http://dx.doi.org/10.1016/j.trc.2019.01.002</v>
      </c>
      <c r="H89" s="21" t="s">
        <v>2825</v>
      </c>
      <c r="I89" s="21" t="s">
        <v>2832</v>
      </c>
      <c r="J89" s="21" t="s">
        <v>2861</v>
      </c>
      <c r="K89" s="20" t="s">
        <v>0</v>
      </c>
    </row>
    <row r="90" spans="1:11" x14ac:dyDescent="0.2">
      <c r="A90" s="30" t="s">
        <v>2821</v>
      </c>
      <c r="B90" s="21" t="s">
        <v>2358</v>
      </c>
      <c r="C90" s="21" t="s">
        <v>2359</v>
      </c>
      <c r="D90" s="21">
        <v>2025</v>
      </c>
      <c r="E90" s="21" t="s">
        <v>948</v>
      </c>
      <c r="F90" s="21" t="s">
        <v>2362</v>
      </c>
      <c r="G90" s="21" t="str">
        <f>HYPERLINK("http://dx.doi.org/10.1108/IJBM-06-2024-0363","http://dx.doi.org/10.1108/IJBM-06-2024-0363")</f>
        <v>http://dx.doi.org/10.1108/IJBM-06-2024-0363</v>
      </c>
      <c r="H90" s="21" t="s">
        <v>2826</v>
      </c>
      <c r="I90" s="21" t="s">
        <v>2836</v>
      </c>
      <c r="J90" s="21" t="s">
        <v>2830</v>
      </c>
      <c r="K90" s="20" t="s">
        <v>0</v>
      </c>
    </row>
    <row r="91" spans="1:11" x14ac:dyDescent="0.2">
      <c r="A91" s="30" t="s">
        <v>2821</v>
      </c>
      <c r="B91" s="21" t="s">
        <v>1050</v>
      </c>
      <c r="C91" s="21" t="s">
        <v>1051</v>
      </c>
      <c r="D91" s="21">
        <v>2014</v>
      </c>
      <c r="E91" s="21" t="s">
        <v>1052</v>
      </c>
      <c r="F91" s="21" t="s">
        <v>1053</v>
      </c>
      <c r="G91" s="21" t="str">
        <f>HYPERLINK("http://dx.doi.org/10.1167/iovs.13-13542","http://dx.doi.org/10.1167/iovs.13-13542")</f>
        <v>http://dx.doi.org/10.1167/iovs.13-13542</v>
      </c>
      <c r="H91" s="21" t="s">
        <v>2826</v>
      </c>
      <c r="I91" s="21" t="s">
        <v>2836</v>
      </c>
      <c r="J91" s="21" t="s">
        <v>2830</v>
      </c>
      <c r="K91" s="20" t="s">
        <v>0</v>
      </c>
    </row>
    <row r="92" spans="1:11" x14ac:dyDescent="0.2">
      <c r="A92" s="30" t="s">
        <v>1569</v>
      </c>
      <c r="B92" s="21" t="s">
        <v>1680</v>
      </c>
      <c r="C92" s="21" t="s">
        <v>1575</v>
      </c>
      <c r="D92" s="21">
        <v>2019</v>
      </c>
      <c r="E92" s="21" t="s">
        <v>928</v>
      </c>
      <c r="F92" s="21" t="s">
        <v>197</v>
      </c>
      <c r="G92" s="21" t="str">
        <f>HYPERLINK("http://dx.doi.org/10.1016/j.scitotenv.2019.07.345","http://dx.doi.org/10.1016/j.scitotenv.2019.07.345")</f>
        <v>http://dx.doi.org/10.1016/j.scitotenv.2019.07.345</v>
      </c>
      <c r="H92" s="21" t="s">
        <v>2826</v>
      </c>
      <c r="I92" s="21" t="s">
        <v>2835</v>
      </c>
      <c r="J92" s="21" t="s">
        <v>2218</v>
      </c>
      <c r="K92" s="20" t="s">
        <v>0</v>
      </c>
    </row>
    <row r="93" spans="1:11" x14ac:dyDescent="0.2">
      <c r="A93" s="30" t="s">
        <v>2821</v>
      </c>
      <c r="B93" s="21" t="s">
        <v>198</v>
      </c>
      <c r="C93" s="21" t="s">
        <v>199</v>
      </c>
      <c r="D93" s="21">
        <v>2024</v>
      </c>
      <c r="E93" s="21" t="s">
        <v>928</v>
      </c>
      <c r="F93" s="21" t="s">
        <v>200</v>
      </c>
      <c r="G93" s="21" t="str">
        <f>HYPERLINK("http://dx.doi.org/10.1016/j.cogsc.2024.100979","http://dx.doi.org/10.1016/j.cogsc.2024.100979")</f>
        <v>http://dx.doi.org/10.1016/j.cogsc.2024.100979</v>
      </c>
      <c r="H93" s="21" t="s">
        <v>2826</v>
      </c>
      <c r="I93" s="21" t="s">
        <v>2900</v>
      </c>
      <c r="J93" s="21" t="s">
        <v>2828</v>
      </c>
      <c r="K93" s="20" t="s">
        <v>0</v>
      </c>
    </row>
    <row r="94" spans="1:11" x14ac:dyDescent="0.2">
      <c r="A94" s="30" t="s">
        <v>2820</v>
      </c>
      <c r="B94" s="21" t="s">
        <v>1208</v>
      </c>
      <c r="C94" s="21" t="s">
        <v>31</v>
      </c>
      <c r="D94" s="21">
        <v>2020</v>
      </c>
      <c r="E94" s="21" t="s">
        <v>925</v>
      </c>
      <c r="F94" s="21" t="s">
        <v>167</v>
      </c>
      <c r="G94" s="21" t="str">
        <f>HYPERLINK("http://dx.doi.org/10.1016/j.apenergy.2019.114160","http://dx.doi.org/10.1016/j.apenergy.2019.114160")</f>
        <v>http://dx.doi.org/10.1016/j.apenergy.2019.114160</v>
      </c>
      <c r="H94" s="21" t="s">
        <v>1230</v>
      </c>
      <c r="I94" s="21" t="s">
        <v>2262</v>
      </c>
      <c r="J94" s="21" t="s">
        <v>2262</v>
      </c>
      <c r="K94" s="20" t="s">
        <v>0</v>
      </c>
    </row>
    <row r="95" spans="1:11" x14ac:dyDescent="0.2">
      <c r="A95" s="30" t="s">
        <v>2821</v>
      </c>
      <c r="B95" s="21" t="s">
        <v>300</v>
      </c>
      <c r="C95" s="21" t="s">
        <v>301</v>
      </c>
      <c r="D95" s="21">
        <v>2024</v>
      </c>
      <c r="E95" s="21" t="s">
        <v>942</v>
      </c>
      <c r="F95" s="21" t="s">
        <v>194</v>
      </c>
      <c r="G95" s="21" t="str">
        <f>HYPERLINK("http://dx.doi.org/10.1002/ente.202300750","http://dx.doi.org/10.1002/ente.202300750")</f>
        <v>http://dx.doi.org/10.1002/ente.202300750</v>
      </c>
      <c r="H95" s="21" t="s">
        <v>2826</v>
      </c>
      <c r="I95" s="21" t="s">
        <v>2832</v>
      </c>
      <c r="J95" s="21" t="s">
        <v>2847</v>
      </c>
      <c r="K95" s="20" t="s">
        <v>0</v>
      </c>
    </row>
    <row r="96" spans="1:11" x14ac:dyDescent="0.2">
      <c r="A96" s="30" t="s">
        <v>1569</v>
      </c>
      <c r="B96" s="21" t="s">
        <v>2069</v>
      </c>
      <c r="C96" s="21" t="s">
        <v>1303</v>
      </c>
      <c r="D96" s="21">
        <v>2012</v>
      </c>
      <c r="E96" s="21" t="s">
        <v>928</v>
      </c>
      <c r="F96" s="21" t="s">
        <v>1304</v>
      </c>
      <c r="G96" s="21" t="str">
        <f>HYPERLINK("http://dx.doi.org/10.1016/j.technovation.2011.09.005","http://dx.doi.org/10.1016/j.technovation.2011.09.005")</f>
        <v>http://dx.doi.org/10.1016/j.technovation.2011.09.005</v>
      </c>
      <c r="H96" s="21" t="s">
        <v>2826</v>
      </c>
      <c r="I96" s="21" t="s">
        <v>2832</v>
      </c>
      <c r="J96" s="21" t="s">
        <v>2847</v>
      </c>
      <c r="K96" s="20" t="s">
        <v>0</v>
      </c>
    </row>
    <row r="97" spans="1:11" x14ac:dyDescent="0.2">
      <c r="A97" s="30" t="s">
        <v>1569</v>
      </c>
      <c r="B97" s="21" t="s">
        <v>1703</v>
      </c>
      <c r="C97" s="21" t="s">
        <v>1589</v>
      </c>
      <c r="D97" s="21">
        <v>2019</v>
      </c>
      <c r="E97" s="21" t="s">
        <v>925</v>
      </c>
      <c r="F97" s="21" t="s">
        <v>144</v>
      </c>
      <c r="G97" s="21" t="str">
        <f>HYPERLINK("http://dx.doi.org/10.1016/j.jclepro.2019.04.086","http://dx.doi.org/10.1016/j.jclepro.2019.04.086")</f>
        <v>http://dx.doi.org/10.1016/j.jclepro.2019.04.086</v>
      </c>
      <c r="H97" s="21" t="s">
        <v>2826</v>
      </c>
      <c r="I97" s="21" t="s">
        <v>2835</v>
      </c>
      <c r="J97" s="21" t="s">
        <v>2218</v>
      </c>
      <c r="K97" s="20" t="s">
        <v>0</v>
      </c>
    </row>
    <row r="98" spans="1:11" x14ac:dyDescent="0.2">
      <c r="A98" s="30" t="s">
        <v>1569</v>
      </c>
      <c r="B98" s="21" t="s">
        <v>1996</v>
      </c>
      <c r="C98" s="21" t="s">
        <v>1648</v>
      </c>
      <c r="D98" s="21">
        <v>2014</v>
      </c>
      <c r="E98" s="21" t="s">
        <v>924</v>
      </c>
      <c r="F98" s="21" t="s">
        <v>357</v>
      </c>
      <c r="G98" s="21" t="str">
        <f>HYPERLINK("http://dx.doi.org/10.1021/es5015828","http://dx.doi.org/10.1021/es5015828")</f>
        <v>http://dx.doi.org/10.1021/es5015828</v>
      </c>
      <c r="H98" s="21" t="s">
        <v>2826</v>
      </c>
      <c r="I98" s="21" t="s">
        <v>2832</v>
      </c>
      <c r="J98" s="21" t="s">
        <v>2847</v>
      </c>
      <c r="K98" s="20" t="s">
        <v>0</v>
      </c>
    </row>
    <row r="99" spans="1:11" x14ac:dyDescent="0.2">
      <c r="A99" s="30" t="s">
        <v>1569</v>
      </c>
      <c r="B99" s="21" t="s">
        <v>1216</v>
      </c>
      <c r="C99" s="21" t="s">
        <v>1192</v>
      </c>
      <c r="D99" s="21">
        <v>2017</v>
      </c>
      <c r="E99" s="21" t="s">
        <v>924</v>
      </c>
      <c r="F99" s="21" t="s">
        <v>357</v>
      </c>
      <c r="G99" s="21" t="str">
        <f>HYPERLINK("http://dx.doi.org/10.1021/acs.est.7b01780","http://dx.doi.org/10.1021/acs.est.7b01780")</f>
        <v>http://dx.doi.org/10.1021/acs.est.7b01780</v>
      </c>
      <c r="H99" s="21" t="s">
        <v>2825</v>
      </c>
      <c r="I99" s="21" t="s">
        <v>2835</v>
      </c>
      <c r="J99" s="21" t="s">
        <v>2214</v>
      </c>
      <c r="K99" s="20" t="s">
        <v>0</v>
      </c>
    </row>
    <row r="100" spans="1:11" x14ac:dyDescent="0.2">
      <c r="A100" s="30" t="s">
        <v>2821</v>
      </c>
      <c r="B100" s="21" t="s">
        <v>393</v>
      </c>
      <c r="C100" s="21" t="s">
        <v>394</v>
      </c>
      <c r="D100" s="21">
        <v>2022</v>
      </c>
      <c r="E100" s="21" t="s">
        <v>928</v>
      </c>
      <c r="F100" s="21" t="s">
        <v>395</v>
      </c>
      <c r="G100" s="21" t="str">
        <f>HYPERLINK("http://dx.doi.org/10.1016/j.aquaculture.2021.737717","http://dx.doi.org/10.1016/j.aquaculture.2021.737717")</f>
        <v>http://dx.doi.org/10.1016/j.aquaculture.2021.737717</v>
      </c>
      <c r="H100" s="21" t="s">
        <v>1230</v>
      </c>
      <c r="I100" s="21" t="s">
        <v>2262</v>
      </c>
      <c r="J100" s="21" t="s">
        <v>2262</v>
      </c>
      <c r="K100" s="20" t="s">
        <v>0</v>
      </c>
    </row>
    <row r="101" spans="1:11" x14ac:dyDescent="0.2">
      <c r="A101" s="30" t="s">
        <v>2821</v>
      </c>
      <c r="B101" s="21" t="s">
        <v>624</v>
      </c>
      <c r="C101" s="21" t="s">
        <v>625</v>
      </c>
      <c r="D101" s="21">
        <v>2023</v>
      </c>
      <c r="E101" s="21" t="s">
        <v>923</v>
      </c>
      <c r="F101" s="21" t="s">
        <v>626</v>
      </c>
      <c r="G101" s="21" t="str">
        <f>HYPERLINK("http://dx.doi.org/10.1002/ese3.1364","http://dx.doi.org/10.1002/ese3.1364")</f>
        <v>http://dx.doi.org/10.1002/ese3.1364</v>
      </c>
      <c r="H101" s="21" t="s">
        <v>2826</v>
      </c>
      <c r="I101" s="21" t="s">
        <v>2836</v>
      </c>
      <c r="J101" s="21" t="s">
        <v>2830</v>
      </c>
      <c r="K101" s="20" t="s">
        <v>0</v>
      </c>
    </row>
    <row r="102" spans="1:11" x14ac:dyDescent="0.2">
      <c r="A102" s="30" t="s">
        <v>2821</v>
      </c>
      <c r="B102" s="21" t="s">
        <v>675</v>
      </c>
      <c r="C102" s="21" t="s">
        <v>676</v>
      </c>
      <c r="D102" s="21">
        <v>2009</v>
      </c>
      <c r="E102" s="21" t="s">
        <v>948</v>
      </c>
      <c r="F102" s="21" t="s">
        <v>677</v>
      </c>
      <c r="G102" s="21" t="str">
        <f>HYPERLINK("http://dx.doi.org/10.1108/09590550910934263","http://dx.doi.org/10.1108/09590550910934263")</f>
        <v>http://dx.doi.org/10.1108/09590550910934263</v>
      </c>
      <c r="H102" s="21" t="s">
        <v>2826</v>
      </c>
      <c r="I102" s="21" t="s">
        <v>2836</v>
      </c>
      <c r="J102" s="21" t="s">
        <v>2830</v>
      </c>
      <c r="K102" s="20" t="s">
        <v>0</v>
      </c>
    </row>
    <row r="103" spans="1:11" x14ac:dyDescent="0.2">
      <c r="A103" s="30" t="s">
        <v>2821</v>
      </c>
      <c r="B103" s="21" t="s">
        <v>397</v>
      </c>
      <c r="C103" s="21" t="s">
        <v>93</v>
      </c>
      <c r="D103" s="21">
        <v>2019</v>
      </c>
      <c r="E103" s="21" t="s">
        <v>923</v>
      </c>
      <c r="F103" s="21" t="s">
        <v>127</v>
      </c>
      <c r="G103" s="21" t="str">
        <f>HYPERLINK("http://dx.doi.org/10.1111/jiec.12780","http://dx.doi.org/10.1111/jiec.12780")</f>
        <v>http://dx.doi.org/10.1111/jiec.12780</v>
      </c>
      <c r="H103" s="21" t="s">
        <v>2825</v>
      </c>
      <c r="I103" s="21" t="s">
        <v>2833</v>
      </c>
      <c r="J103" s="21" t="s">
        <v>2827</v>
      </c>
      <c r="K103" s="20" t="s">
        <v>0</v>
      </c>
    </row>
    <row r="104" spans="1:11" x14ac:dyDescent="0.2">
      <c r="A104" s="30" t="s">
        <v>2821</v>
      </c>
      <c r="B104" s="21" t="s">
        <v>2370</v>
      </c>
      <c r="C104" s="21" t="s">
        <v>2375</v>
      </c>
      <c r="D104" s="21">
        <v>2025</v>
      </c>
      <c r="E104" s="21" t="s">
        <v>928</v>
      </c>
      <c r="F104" s="21" t="s">
        <v>1131</v>
      </c>
      <c r="G104" s="21" t="str">
        <f>HYPERLINK("http://dx.doi.org/10.1016/j.autcon.2025.106326","http://dx.doi.org/10.1016/j.autcon.2025.106326")</f>
        <v>http://dx.doi.org/10.1016/j.autcon.2025.106326</v>
      </c>
      <c r="H104" s="21" t="s">
        <v>2826</v>
      </c>
      <c r="I104" s="21" t="s">
        <v>2835</v>
      </c>
      <c r="J104" s="21" t="s">
        <v>2218</v>
      </c>
      <c r="K104" s="20" t="s">
        <v>0</v>
      </c>
    </row>
    <row r="105" spans="1:11" x14ac:dyDescent="0.2">
      <c r="A105" s="30" t="s">
        <v>2821</v>
      </c>
      <c r="B105" s="21" t="s">
        <v>555</v>
      </c>
      <c r="C105" s="21" t="s">
        <v>556</v>
      </c>
      <c r="D105" s="21">
        <v>2020</v>
      </c>
      <c r="E105" s="21" t="s">
        <v>926</v>
      </c>
      <c r="F105" s="21" t="s">
        <v>209</v>
      </c>
      <c r="G105" s="21" t="str">
        <f>HYPERLINK("http://dx.doi.org/10.1007/s11367-019-01680-0","http://dx.doi.org/10.1007/s11367-019-01680-0")</f>
        <v>http://dx.doi.org/10.1007/s11367-019-01680-0</v>
      </c>
      <c r="H105" s="21" t="s">
        <v>2826</v>
      </c>
      <c r="I105" s="21" t="s">
        <v>2836</v>
      </c>
      <c r="J105" s="21" t="s">
        <v>2830</v>
      </c>
      <c r="K105" s="20" t="s">
        <v>0</v>
      </c>
    </row>
    <row r="106" spans="1:11" x14ac:dyDescent="0.2">
      <c r="A106" s="30" t="s">
        <v>2821</v>
      </c>
      <c r="B106" s="21" t="s">
        <v>1177</v>
      </c>
      <c r="C106" s="21" t="s">
        <v>1099</v>
      </c>
      <c r="D106" s="21">
        <v>2011</v>
      </c>
      <c r="E106" s="21" t="s">
        <v>931</v>
      </c>
      <c r="F106" s="21" t="s">
        <v>306</v>
      </c>
      <c r="G106" s="21" t="str">
        <f>HYPERLINK("http://dx.doi.org/10.1016/j.rser.2011.07.108","http://dx.doi.org/10.1016/j.rser.2011.07.108")</f>
        <v>http://dx.doi.org/10.1016/j.rser.2011.07.108</v>
      </c>
      <c r="H106" s="21" t="s">
        <v>2826</v>
      </c>
      <c r="I106" s="21" t="s">
        <v>2833</v>
      </c>
      <c r="J106" s="21" t="s">
        <v>2827</v>
      </c>
      <c r="K106" s="20" t="s">
        <v>0</v>
      </c>
    </row>
    <row r="107" spans="1:11" x14ac:dyDescent="0.2">
      <c r="A107" s="30" t="s">
        <v>2820</v>
      </c>
      <c r="B107" s="21" t="s">
        <v>1195</v>
      </c>
      <c r="C107" s="21" t="s">
        <v>65</v>
      </c>
      <c r="D107" s="21">
        <v>2024</v>
      </c>
      <c r="E107" s="21" t="s">
        <v>1193</v>
      </c>
      <c r="F107" s="21" t="s">
        <v>66</v>
      </c>
      <c r="G107" s="21" t="str">
        <f>HYPERLINK("http://dx.doi.org/10.1016/j.heliyon.2024.e27547","http://dx.doi.org/10.1016/j.heliyon.2024.e27547")</f>
        <v>http://dx.doi.org/10.1016/j.heliyon.2024.e27547</v>
      </c>
      <c r="H107" s="21" t="s">
        <v>1230</v>
      </c>
      <c r="I107" s="21" t="s">
        <v>2262</v>
      </c>
      <c r="J107" s="21" t="s">
        <v>2262</v>
      </c>
      <c r="K107" s="20" t="s">
        <v>0</v>
      </c>
    </row>
    <row r="108" spans="1:11" x14ac:dyDescent="0.2">
      <c r="A108" s="30" t="s">
        <v>2820</v>
      </c>
      <c r="B108" s="21" t="s">
        <v>2293</v>
      </c>
      <c r="C108" s="21" t="s">
        <v>2294</v>
      </c>
      <c r="D108" s="21">
        <v>2025</v>
      </c>
      <c r="E108" s="21" t="s">
        <v>931</v>
      </c>
      <c r="F108" s="21" t="s">
        <v>306</v>
      </c>
      <c r="G108" s="21" t="str">
        <f>HYPERLINK("http://dx.doi.org/10.1016/j.rser.2024.114941","http://dx.doi.org/10.1016/j.rser.2024.114941")</f>
        <v>http://dx.doi.org/10.1016/j.rser.2024.114941</v>
      </c>
      <c r="H108" s="21" t="s">
        <v>1230</v>
      </c>
      <c r="I108" s="21" t="s">
        <v>2262</v>
      </c>
      <c r="J108" s="21" t="s">
        <v>2262</v>
      </c>
      <c r="K108" s="20" t="s">
        <v>0</v>
      </c>
    </row>
    <row r="109" spans="1:11" x14ac:dyDescent="0.2">
      <c r="A109" s="30" t="s">
        <v>1569</v>
      </c>
      <c r="B109" s="21" t="s">
        <v>1906</v>
      </c>
      <c r="C109" s="21" t="s">
        <v>1638</v>
      </c>
      <c r="D109" s="21">
        <v>2016</v>
      </c>
      <c r="E109" s="21" t="s">
        <v>925</v>
      </c>
      <c r="F109" s="21" t="s">
        <v>56</v>
      </c>
      <c r="G109" s="21" t="str">
        <f>HYPERLINK("http://dx.doi.org/10.1016/j.enpol.2016.06.036","http://dx.doi.org/10.1016/j.enpol.2016.06.036")</f>
        <v>http://dx.doi.org/10.1016/j.enpol.2016.06.036</v>
      </c>
      <c r="H109" s="21" t="s">
        <v>2826</v>
      </c>
      <c r="I109" s="21" t="s">
        <v>2834</v>
      </c>
      <c r="J109" s="21" t="s">
        <v>2208</v>
      </c>
      <c r="K109" s="20" t="s">
        <v>0</v>
      </c>
    </row>
    <row r="110" spans="1:11" x14ac:dyDescent="0.2">
      <c r="A110" s="30" t="s">
        <v>2820</v>
      </c>
      <c r="B110" s="21" t="s">
        <v>2289</v>
      </c>
      <c r="C110" s="21" t="s">
        <v>2290</v>
      </c>
      <c r="D110" s="21">
        <v>2020</v>
      </c>
      <c r="E110" s="21" t="s">
        <v>925</v>
      </c>
      <c r="F110" s="21" t="s">
        <v>56</v>
      </c>
      <c r="G110" s="21" t="str">
        <f>HYPERLINK("http://dx.doi.org/10.1016/j.enpol.2020.111334","http://dx.doi.org/10.1016/j.enpol.2020.111334")</f>
        <v>http://dx.doi.org/10.1016/j.enpol.2020.111334</v>
      </c>
      <c r="H110" s="21" t="s">
        <v>1230</v>
      </c>
      <c r="I110" s="21" t="s">
        <v>2262</v>
      </c>
      <c r="J110" s="21" t="s">
        <v>2262</v>
      </c>
      <c r="K110" s="20" t="s">
        <v>0</v>
      </c>
    </row>
    <row r="111" spans="1:11" x14ac:dyDescent="0.2">
      <c r="A111" s="30" t="s">
        <v>1569</v>
      </c>
      <c r="B111" s="21" t="s">
        <v>1738</v>
      </c>
      <c r="C111" s="21" t="s">
        <v>1618</v>
      </c>
      <c r="D111" s="21">
        <v>2019</v>
      </c>
      <c r="E111" s="21" t="s">
        <v>929</v>
      </c>
      <c r="F111" s="21" t="s">
        <v>1710</v>
      </c>
      <c r="G111" s="21" t="str">
        <f>HYPERLINK("http://dx.doi.org/10.1007/s12053-018-9678-9","http://dx.doi.org/10.1007/s12053-018-9678-9")</f>
        <v>http://dx.doi.org/10.1007/s12053-018-9678-9</v>
      </c>
      <c r="H111" s="21" t="s">
        <v>1230</v>
      </c>
      <c r="I111" s="21" t="s">
        <v>2262</v>
      </c>
      <c r="J111" s="21" t="s">
        <v>2262</v>
      </c>
      <c r="K111" s="20" t="s">
        <v>0</v>
      </c>
    </row>
    <row r="112" spans="1:11" x14ac:dyDescent="0.2">
      <c r="A112" s="30" t="s">
        <v>2820</v>
      </c>
      <c r="B112" s="21" t="s">
        <v>2291</v>
      </c>
      <c r="C112" s="21" t="s">
        <v>2292</v>
      </c>
      <c r="D112" s="21">
        <v>2013</v>
      </c>
      <c r="E112" s="21" t="s">
        <v>931</v>
      </c>
      <c r="F112" s="21" t="s">
        <v>809</v>
      </c>
      <c r="G112" s="21" t="str">
        <f>HYPERLINK("http://dx.doi.org/10.1016/j.tra.2013.01.010","http://dx.doi.org/10.1016/j.tra.2013.01.010")</f>
        <v>http://dx.doi.org/10.1016/j.tra.2013.01.010</v>
      </c>
      <c r="H112" s="21" t="s">
        <v>1230</v>
      </c>
      <c r="I112" s="21" t="s">
        <v>2262</v>
      </c>
      <c r="J112" s="21" t="s">
        <v>2262</v>
      </c>
      <c r="K112" s="20" t="s">
        <v>0</v>
      </c>
    </row>
    <row r="113" spans="1:11" x14ac:dyDescent="0.2">
      <c r="A113" s="30" t="s">
        <v>1569</v>
      </c>
      <c r="B113" s="21" t="s">
        <v>1870</v>
      </c>
      <c r="C113" s="21" t="s">
        <v>1305</v>
      </c>
      <c r="D113" s="21">
        <v>2017</v>
      </c>
      <c r="E113" s="21" t="s">
        <v>931</v>
      </c>
      <c r="F113" s="21" t="s">
        <v>809</v>
      </c>
      <c r="G113" s="21" t="str">
        <f>HYPERLINK("http://dx.doi.org/10.1016/j.tra.2017.01.017","http://dx.doi.org/10.1016/j.tra.2017.01.017")</f>
        <v>http://dx.doi.org/10.1016/j.tra.2017.01.017</v>
      </c>
      <c r="H113" s="21" t="s">
        <v>1230</v>
      </c>
      <c r="I113" s="21" t="s">
        <v>2262</v>
      </c>
      <c r="J113" s="21" t="s">
        <v>2262</v>
      </c>
      <c r="K113" s="20" t="s">
        <v>0</v>
      </c>
    </row>
    <row r="114" spans="1:11" x14ac:dyDescent="0.2">
      <c r="A114" s="30" t="s">
        <v>1569</v>
      </c>
      <c r="B114" s="21" t="s">
        <v>1227</v>
      </c>
      <c r="C114" s="21" t="s">
        <v>88</v>
      </c>
      <c r="D114" s="21">
        <v>2012</v>
      </c>
      <c r="E114" s="21" t="s">
        <v>925</v>
      </c>
      <c r="F114" s="21" t="s">
        <v>56</v>
      </c>
      <c r="G114" s="21" t="str">
        <f>HYPERLINK("http://dx.doi.org/10.1016/j.enpol.2010.08.019","http://dx.doi.org/10.1016/j.enpol.2010.08.019")</f>
        <v>http://dx.doi.org/10.1016/j.enpol.2010.08.019</v>
      </c>
      <c r="H114" s="21" t="s">
        <v>1230</v>
      </c>
      <c r="I114" s="21" t="s">
        <v>2262</v>
      </c>
      <c r="J114" s="21" t="s">
        <v>2262</v>
      </c>
      <c r="K114" s="20" t="s">
        <v>0</v>
      </c>
    </row>
    <row r="115" spans="1:11" x14ac:dyDescent="0.2">
      <c r="A115" s="30" t="s">
        <v>1569</v>
      </c>
      <c r="B115" s="21" t="s">
        <v>2073</v>
      </c>
      <c r="C115" s="21" t="s">
        <v>1658</v>
      </c>
      <c r="D115" s="21">
        <v>2011</v>
      </c>
      <c r="E115" s="21" t="s">
        <v>924</v>
      </c>
      <c r="F115" s="21" t="s">
        <v>357</v>
      </c>
      <c r="G115" s="21" t="str">
        <f>HYPERLINK("http://dx.doi.org/10.1021/es201746b","http://dx.doi.org/10.1021/es201746b")</f>
        <v>http://dx.doi.org/10.1021/es201746b</v>
      </c>
      <c r="H115" s="21" t="s">
        <v>2826</v>
      </c>
      <c r="I115" s="21" t="s">
        <v>2834</v>
      </c>
      <c r="J115" s="21" t="s">
        <v>2208</v>
      </c>
      <c r="K115" s="20" t="s">
        <v>0</v>
      </c>
    </row>
    <row r="116" spans="1:11" x14ac:dyDescent="0.2">
      <c r="A116" s="30" t="s">
        <v>2821</v>
      </c>
      <c r="B116" s="21" t="s">
        <v>385</v>
      </c>
      <c r="C116" s="21" t="s">
        <v>386</v>
      </c>
      <c r="D116" s="21">
        <v>2024</v>
      </c>
      <c r="E116" s="21" t="s">
        <v>928</v>
      </c>
      <c r="F116" s="21" t="s">
        <v>173</v>
      </c>
      <c r="G116" s="21" t="str">
        <f>HYPERLINK("http://dx.doi.org/10.1016/j.spc.2024.03.014","http://dx.doi.org/10.1016/j.spc.2024.03.014")</f>
        <v>http://dx.doi.org/10.1016/j.spc.2024.03.014</v>
      </c>
      <c r="H116" s="21" t="s">
        <v>2826</v>
      </c>
      <c r="I116" s="21" t="s">
        <v>2832</v>
      </c>
      <c r="J116" s="21" t="s">
        <v>2847</v>
      </c>
      <c r="K116" s="20" t="s">
        <v>0</v>
      </c>
    </row>
    <row r="117" spans="1:11" x14ac:dyDescent="0.2">
      <c r="A117" s="30" t="s">
        <v>2821</v>
      </c>
      <c r="B117" s="21" t="s">
        <v>240</v>
      </c>
      <c r="C117" s="21" t="s">
        <v>17</v>
      </c>
      <c r="D117" s="21">
        <v>2023</v>
      </c>
      <c r="E117" s="21" t="s">
        <v>931</v>
      </c>
      <c r="F117" s="21" t="s">
        <v>181</v>
      </c>
      <c r="G117" s="21" t="str">
        <f>HYPERLINK("http://dx.doi.org/10.1016/j.buildenv.2023.110535","http://dx.doi.org/10.1016/j.buildenv.2023.110535")</f>
        <v>http://dx.doi.org/10.1016/j.buildenv.2023.110535</v>
      </c>
      <c r="H117" s="21" t="s">
        <v>2826</v>
      </c>
      <c r="I117" s="21" t="s">
        <v>2900</v>
      </c>
      <c r="J117" s="21" t="s">
        <v>2828</v>
      </c>
      <c r="K117" s="20" t="s">
        <v>0</v>
      </c>
    </row>
    <row r="118" spans="1:11" x14ac:dyDescent="0.2">
      <c r="A118" s="30" t="s">
        <v>1569</v>
      </c>
      <c r="B118" s="21" t="s">
        <v>1747</v>
      </c>
      <c r="C118" s="21" t="s">
        <v>1306</v>
      </c>
      <c r="D118" s="21">
        <v>2018</v>
      </c>
      <c r="E118" s="21" t="s">
        <v>925</v>
      </c>
      <c r="F118" s="21" t="s">
        <v>144</v>
      </c>
      <c r="G118" s="21" t="str">
        <f>HYPERLINK("http://dx.doi.org/10.1016/j.jclepro.2018.07.240","http://dx.doi.org/10.1016/j.jclepro.2018.07.240")</f>
        <v>http://dx.doi.org/10.1016/j.jclepro.2018.07.240</v>
      </c>
      <c r="H118" s="21" t="s">
        <v>2826</v>
      </c>
      <c r="I118" s="21" t="s">
        <v>2835</v>
      </c>
      <c r="J118" s="21" t="s">
        <v>2218</v>
      </c>
      <c r="K118" s="20" t="s">
        <v>0</v>
      </c>
    </row>
    <row r="119" spans="1:11" x14ac:dyDescent="0.2">
      <c r="A119" s="30" t="s">
        <v>2821</v>
      </c>
      <c r="B119" s="21" t="s">
        <v>793</v>
      </c>
      <c r="C119" s="21" t="s">
        <v>794</v>
      </c>
      <c r="D119" s="21">
        <v>2016</v>
      </c>
      <c r="E119" s="21" t="s">
        <v>1060</v>
      </c>
      <c r="F119" s="21" t="s">
        <v>795</v>
      </c>
      <c r="G119" s="21" t="str">
        <f>HYPERLINK("http://dx.doi.org/10.1037/a0039411","http://dx.doi.org/10.1037/a0039411")</f>
        <v>http://dx.doi.org/10.1037/a0039411</v>
      </c>
      <c r="H119" s="21" t="s">
        <v>2826</v>
      </c>
      <c r="I119" s="21" t="s">
        <v>2836</v>
      </c>
      <c r="J119" s="21" t="s">
        <v>2830</v>
      </c>
      <c r="K119" s="20" t="s">
        <v>0</v>
      </c>
    </row>
    <row r="120" spans="1:11" x14ac:dyDescent="0.2">
      <c r="A120" s="30" t="s">
        <v>1569</v>
      </c>
      <c r="B120" s="21" t="s">
        <v>1856</v>
      </c>
      <c r="C120" s="21" t="s">
        <v>1307</v>
      </c>
      <c r="D120" s="21">
        <v>2017</v>
      </c>
      <c r="E120" s="21" t="s">
        <v>925</v>
      </c>
      <c r="F120" s="21" t="s">
        <v>1857</v>
      </c>
      <c r="G120" s="21" t="str">
        <f>HYPERLINK("http://dx.doi.org/10.1016/j.retrec.2017.02.004","http://dx.doi.org/10.1016/j.retrec.2017.02.004")</f>
        <v>http://dx.doi.org/10.1016/j.retrec.2017.02.004</v>
      </c>
      <c r="H120" s="21" t="s">
        <v>2826</v>
      </c>
      <c r="I120" s="21" t="s">
        <v>2835</v>
      </c>
      <c r="J120" s="21" t="s">
        <v>2839</v>
      </c>
      <c r="K120" s="20" t="s">
        <v>0</v>
      </c>
    </row>
    <row r="121" spans="1:11" x14ac:dyDescent="0.2">
      <c r="A121" s="30" t="s">
        <v>1569</v>
      </c>
      <c r="B121" s="21" t="s">
        <v>1834</v>
      </c>
      <c r="C121" s="21" t="s">
        <v>1308</v>
      </c>
      <c r="D121" s="21">
        <v>2017</v>
      </c>
      <c r="E121" s="21" t="s">
        <v>923</v>
      </c>
      <c r="F121" s="21" t="s">
        <v>127</v>
      </c>
      <c r="G121" s="21" t="str">
        <f>HYPERLINK("http://dx.doi.org/10.1111/jiec.12494","http://dx.doi.org/10.1111/jiec.12494")</f>
        <v>http://dx.doi.org/10.1111/jiec.12494</v>
      </c>
      <c r="H121" s="21" t="s">
        <v>2826</v>
      </c>
      <c r="I121" s="21" t="s">
        <v>2835</v>
      </c>
      <c r="J121" s="21" t="s">
        <v>2214</v>
      </c>
      <c r="K121" s="20" t="s">
        <v>0</v>
      </c>
    </row>
    <row r="122" spans="1:11" x14ac:dyDescent="0.2">
      <c r="A122" s="30" t="s">
        <v>1569</v>
      </c>
      <c r="B122" s="21" t="s">
        <v>1748</v>
      </c>
      <c r="C122" s="21" t="s">
        <v>1310</v>
      </c>
      <c r="D122" s="21">
        <v>2018</v>
      </c>
      <c r="E122" s="21" t="s">
        <v>925</v>
      </c>
      <c r="F122" s="21" t="s">
        <v>144</v>
      </c>
      <c r="G122" s="21" t="str">
        <f>HYPERLINK("http://dx.doi.org/10.1016/j.jclepro.2018.08.145","http://dx.doi.org/10.1016/j.jclepro.2018.08.145")</f>
        <v>http://dx.doi.org/10.1016/j.jclepro.2018.08.145</v>
      </c>
      <c r="H122" s="21" t="s">
        <v>2826</v>
      </c>
      <c r="I122" s="21" t="s">
        <v>2835</v>
      </c>
      <c r="J122" s="21" t="s">
        <v>2218</v>
      </c>
      <c r="K122" s="20" t="s">
        <v>0</v>
      </c>
    </row>
    <row r="123" spans="1:11" x14ac:dyDescent="0.2">
      <c r="A123" s="30" t="s">
        <v>1569</v>
      </c>
      <c r="B123" s="21" t="s">
        <v>1754</v>
      </c>
      <c r="C123" s="21" t="s">
        <v>1309</v>
      </c>
      <c r="D123" s="21">
        <v>2018</v>
      </c>
      <c r="E123" s="21" t="s">
        <v>926</v>
      </c>
      <c r="F123" s="21" t="s">
        <v>209</v>
      </c>
      <c r="G123" s="21" t="str">
        <f>HYPERLINK("http://dx.doi.org/10.1007/s11367-018-1450-z","http://dx.doi.org/10.1007/s11367-018-1450-z")</f>
        <v>http://dx.doi.org/10.1007/s11367-018-1450-z</v>
      </c>
      <c r="H123" s="21" t="s">
        <v>2825</v>
      </c>
      <c r="I123" s="21" t="s">
        <v>2209</v>
      </c>
      <c r="J123" s="21" t="s">
        <v>2877</v>
      </c>
      <c r="K123" s="20" t="s">
        <v>0</v>
      </c>
    </row>
    <row r="124" spans="1:11" x14ac:dyDescent="0.2">
      <c r="A124" s="30" t="s">
        <v>1569</v>
      </c>
      <c r="B124" s="21" t="s">
        <v>1725</v>
      </c>
      <c r="C124" s="21" t="s">
        <v>1609</v>
      </c>
      <c r="D124" s="21">
        <v>2019</v>
      </c>
      <c r="E124" s="21" t="s">
        <v>1726</v>
      </c>
      <c r="F124" s="21" t="s">
        <v>1311</v>
      </c>
      <c r="G124" s="21" t="str">
        <f>HYPERLINK("http://dx.doi.org/10.31025/2611-4135/2019.13790","http://dx.doi.org/10.31025/2611-4135/2019.13790")</f>
        <v>http://dx.doi.org/10.31025/2611-4135/2019.13790</v>
      </c>
      <c r="H124" s="21" t="s">
        <v>2826</v>
      </c>
      <c r="I124" s="21" t="s">
        <v>2835</v>
      </c>
      <c r="J124" s="21" t="s">
        <v>2218</v>
      </c>
      <c r="K124" s="20" t="s">
        <v>0</v>
      </c>
    </row>
    <row r="125" spans="1:11" x14ac:dyDescent="0.2">
      <c r="A125" s="30" t="s">
        <v>1569</v>
      </c>
      <c r="B125" s="21" t="s">
        <v>1709</v>
      </c>
      <c r="C125" s="21" t="s">
        <v>1595</v>
      </c>
      <c r="D125" s="21">
        <v>2019</v>
      </c>
      <c r="E125" s="21" t="s">
        <v>929</v>
      </c>
      <c r="F125" s="21" t="s">
        <v>1710</v>
      </c>
      <c r="G125" s="21" t="str">
        <f>HYPERLINK("http://dx.doi.org/10.1007/s12053-018-9724-7","http://dx.doi.org/10.1007/s12053-018-9724-7")</f>
        <v>http://dx.doi.org/10.1007/s12053-018-9724-7</v>
      </c>
      <c r="H125" s="21" t="s">
        <v>2825</v>
      </c>
      <c r="I125" s="21" t="s">
        <v>2832</v>
      </c>
      <c r="J125" s="21" t="s">
        <v>2223</v>
      </c>
      <c r="K125" s="20" t="s">
        <v>0</v>
      </c>
    </row>
    <row r="126" spans="1:11" x14ac:dyDescent="0.2">
      <c r="A126" s="30" t="s">
        <v>1569</v>
      </c>
      <c r="B126" s="21" t="s">
        <v>1270</v>
      </c>
      <c r="C126" s="21" t="s">
        <v>11</v>
      </c>
      <c r="D126" s="21">
        <v>2019</v>
      </c>
      <c r="E126" s="21" t="s">
        <v>41</v>
      </c>
      <c r="F126" s="21" t="s">
        <v>54</v>
      </c>
      <c r="G126" s="21" t="str">
        <f>HYPERLINK("http://dx.doi.org/10.3390/su11195456","http://dx.doi.org/10.3390/su11195456")</f>
        <v>http://dx.doi.org/10.3390/su11195456</v>
      </c>
      <c r="H126" s="21" t="s">
        <v>2826</v>
      </c>
      <c r="I126" s="21" t="s">
        <v>2900</v>
      </c>
      <c r="J126" s="21" t="s">
        <v>2828</v>
      </c>
      <c r="K126" s="20" t="s">
        <v>0</v>
      </c>
    </row>
    <row r="127" spans="1:11" x14ac:dyDescent="0.2">
      <c r="A127" s="30" t="s">
        <v>2821</v>
      </c>
      <c r="B127" s="21" t="s">
        <v>379</v>
      </c>
      <c r="C127" s="21" t="s">
        <v>380</v>
      </c>
      <c r="D127" s="21">
        <v>2018</v>
      </c>
      <c r="E127" s="21" t="s">
        <v>926</v>
      </c>
      <c r="F127" s="21" t="s">
        <v>209</v>
      </c>
      <c r="G127" s="21" t="str">
        <f>HYPERLINK("http://dx.doi.org/10.1007/s11367-017-1389-5","http://dx.doi.org/10.1007/s11367-017-1389-5")</f>
        <v>http://dx.doi.org/10.1007/s11367-017-1389-5</v>
      </c>
      <c r="H127" s="21" t="s">
        <v>2826</v>
      </c>
      <c r="I127" s="21" t="s">
        <v>2832</v>
      </c>
      <c r="J127" s="21" t="s">
        <v>2829</v>
      </c>
      <c r="K127" s="20" t="s">
        <v>0</v>
      </c>
    </row>
    <row r="128" spans="1:11" x14ac:dyDescent="0.2">
      <c r="A128" s="30" t="s">
        <v>2821</v>
      </c>
      <c r="B128" s="21" t="s">
        <v>2295</v>
      </c>
      <c r="C128" s="21" t="s">
        <v>2297</v>
      </c>
      <c r="D128" s="21">
        <v>2025</v>
      </c>
      <c r="E128" s="21" t="s">
        <v>931</v>
      </c>
      <c r="F128" s="21" t="s">
        <v>306</v>
      </c>
      <c r="G128" s="21" t="str">
        <f>HYPERLINK("http://dx.doi.org/10.1016/j.rser.2024.115243","http://dx.doi.org/10.1016/j.rser.2024.115243")</f>
        <v>http://dx.doi.org/10.1016/j.rser.2024.115243</v>
      </c>
      <c r="H128" s="21" t="s">
        <v>1230</v>
      </c>
      <c r="I128" s="21" t="s">
        <v>2262</v>
      </c>
      <c r="J128" s="21" t="s">
        <v>2262</v>
      </c>
      <c r="K128" s="20" t="s">
        <v>0</v>
      </c>
    </row>
    <row r="129" spans="1:11" x14ac:dyDescent="0.2">
      <c r="A129" s="30" t="s">
        <v>2821</v>
      </c>
      <c r="B129" s="21" t="s">
        <v>1104</v>
      </c>
      <c r="C129" s="21" t="s">
        <v>104</v>
      </c>
      <c r="D129" s="21">
        <v>2024</v>
      </c>
      <c r="E129" s="21" t="s">
        <v>929</v>
      </c>
      <c r="F129" s="21" t="s">
        <v>285</v>
      </c>
      <c r="G129" s="21" t="str">
        <f>HYPERLINK("http://dx.doi.org/10.1007/s10668-024-05598-y","http://dx.doi.org/10.1007/s10668-024-05598-y")</f>
        <v>http://dx.doi.org/10.1007/s10668-024-05598-y</v>
      </c>
      <c r="H129" s="21" t="s">
        <v>2826</v>
      </c>
      <c r="I129" s="21" t="s">
        <v>2900</v>
      </c>
      <c r="J129" s="21" t="s">
        <v>2828</v>
      </c>
      <c r="K129" s="20" t="s">
        <v>0</v>
      </c>
    </row>
    <row r="130" spans="1:11" x14ac:dyDescent="0.2">
      <c r="A130" s="30" t="s">
        <v>1569</v>
      </c>
      <c r="B130" s="21" t="s">
        <v>1948</v>
      </c>
      <c r="C130" s="21" t="s">
        <v>1312</v>
      </c>
      <c r="D130" s="21">
        <v>2016</v>
      </c>
      <c r="E130" s="21" t="s">
        <v>931</v>
      </c>
      <c r="F130" s="21" t="s">
        <v>306</v>
      </c>
      <c r="G130" s="21" t="str">
        <f>HYPERLINK("http://dx.doi.org/10.1016/j.rser.2015.09.008","http://dx.doi.org/10.1016/j.rser.2015.09.008")</f>
        <v>http://dx.doi.org/10.1016/j.rser.2015.09.008</v>
      </c>
      <c r="H130" s="21" t="s">
        <v>2825</v>
      </c>
      <c r="I130" s="21" t="s">
        <v>2833</v>
      </c>
      <c r="J130" s="21" t="s">
        <v>2827</v>
      </c>
      <c r="K130" s="20" t="s">
        <v>0</v>
      </c>
    </row>
    <row r="131" spans="1:11" x14ac:dyDescent="0.2">
      <c r="A131" s="30" t="s">
        <v>2821</v>
      </c>
      <c r="B131" s="21" t="s">
        <v>699</v>
      </c>
      <c r="C131" s="21" t="s">
        <v>700</v>
      </c>
      <c r="D131" s="21">
        <v>2022</v>
      </c>
      <c r="E131" s="21" t="s">
        <v>928</v>
      </c>
      <c r="F131" s="21" t="s">
        <v>197</v>
      </c>
      <c r="G131" s="21" t="str">
        <f>HYPERLINK("http://dx.doi.org/10.1016/j.scitotenv.2022.153072","http://dx.doi.org/10.1016/j.scitotenv.2022.153072")</f>
        <v>http://dx.doi.org/10.1016/j.scitotenv.2022.153072</v>
      </c>
      <c r="H131" s="21" t="s">
        <v>2825</v>
      </c>
      <c r="I131" s="21" t="s">
        <v>2832</v>
      </c>
      <c r="J131" s="21" t="s">
        <v>2884</v>
      </c>
      <c r="K131" s="20" t="s">
        <v>0</v>
      </c>
    </row>
    <row r="132" spans="1:11" x14ac:dyDescent="0.2">
      <c r="A132" s="30" t="s">
        <v>1569</v>
      </c>
      <c r="B132" s="21" t="s">
        <v>1902</v>
      </c>
      <c r="C132" s="21" t="s">
        <v>1313</v>
      </c>
      <c r="D132" s="21">
        <v>2016</v>
      </c>
      <c r="E132" s="21" t="s">
        <v>931</v>
      </c>
      <c r="F132" s="21" t="s">
        <v>43</v>
      </c>
      <c r="G132" s="21" t="str">
        <f>HYPERLINK("http://dx.doi.org/10.1016/j.energy.2016.07.111","http://dx.doi.org/10.1016/j.energy.2016.07.111")</f>
        <v>http://dx.doi.org/10.1016/j.energy.2016.07.111</v>
      </c>
      <c r="H132" s="21" t="s">
        <v>2826</v>
      </c>
      <c r="I132" s="21" t="s">
        <v>2835</v>
      </c>
      <c r="J132" s="21" t="s">
        <v>2218</v>
      </c>
      <c r="K132" s="20" t="s">
        <v>0</v>
      </c>
    </row>
    <row r="133" spans="1:11" x14ac:dyDescent="0.2">
      <c r="A133" s="30" t="s">
        <v>2821</v>
      </c>
      <c r="B133" s="21" t="s">
        <v>828</v>
      </c>
      <c r="C133" s="21" t="s">
        <v>829</v>
      </c>
      <c r="D133" s="21">
        <v>1998</v>
      </c>
      <c r="E133" s="21" t="s">
        <v>1047</v>
      </c>
      <c r="F133" s="21" t="s">
        <v>830</v>
      </c>
      <c r="G133" s="21" t="str">
        <f>HYPERLINK("http://dx.doi.org/10.1016/S0741-5214(98)70323-4","http://dx.doi.org/10.1016/S0741-5214(98)70323-4")</f>
        <v>http://dx.doi.org/10.1016/S0741-5214(98)70323-4</v>
      </c>
      <c r="H133" s="21" t="s">
        <v>2826</v>
      </c>
      <c r="I133" s="21" t="s">
        <v>2836</v>
      </c>
      <c r="J133" s="21" t="s">
        <v>2830</v>
      </c>
      <c r="K133" s="20" t="s">
        <v>0</v>
      </c>
    </row>
    <row r="134" spans="1:11" x14ac:dyDescent="0.2">
      <c r="A134" s="30" t="s">
        <v>2821</v>
      </c>
      <c r="B134" s="21" t="s">
        <v>1111</v>
      </c>
      <c r="C134" s="21" t="s">
        <v>1072</v>
      </c>
      <c r="D134" s="21">
        <v>2024</v>
      </c>
      <c r="E134" s="21" t="s">
        <v>929</v>
      </c>
      <c r="F134" s="21" t="s">
        <v>1112</v>
      </c>
      <c r="G134" s="21" t="str">
        <f>HYPERLINK("http://dx.doi.org/10.1007/s00134-023-07274-7","http://dx.doi.org/10.1007/s00134-023-07274-7")</f>
        <v>http://dx.doi.org/10.1007/s00134-023-07274-7</v>
      </c>
      <c r="H134" s="21" t="s">
        <v>2826</v>
      </c>
      <c r="I134" s="21" t="s">
        <v>2836</v>
      </c>
      <c r="J134" s="21" t="s">
        <v>2830</v>
      </c>
      <c r="K134" s="20" t="s">
        <v>0</v>
      </c>
    </row>
    <row r="135" spans="1:11" x14ac:dyDescent="0.2">
      <c r="A135" s="30" t="s">
        <v>1569</v>
      </c>
      <c r="B135" s="21" t="s">
        <v>1825</v>
      </c>
      <c r="C135" s="21" t="s">
        <v>1314</v>
      </c>
      <c r="D135" s="21">
        <v>2017</v>
      </c>
      <c r="E135" s="21" t="s">
        <v>995</v>
      </c>
      <c r="F135" s="21" t="s">
        <v>1826</v>
      </c>
      <c r="G135" s="21" t="str">
        <f>HYPERLINK("http://dx.doi.org/10.1016/j.indcrop.2016.11.025","http://dx.doi.org/10.1016/j.indcrop.2016.11.025")</f>
        <v>http://dx.doi.org/10.1016/j.indcrop.2016.11.025</v>
      </c>
      <c r="H135" s="21" t="s">
        <v>2826</v>
      </c>
      <c r="I135" s="21" t="s">
        <v>2835</v>
      </c>
      <c r="J135" s="21" t="s">
        <v>2218</v>
      </c>
      <c r="K135" s="20" t="s">
        <v>0</v>
      </c>
    </row>
    <row r="136" spans="1:11" x14ac:dyDescent="0.2">
      <c r="A136" s="30" t="s">
        <v>2821</v>
      </c>
      <c r="B136" s="21" t="s">
        <v>535</v>
      </c>
      <c r="C136" s="21" t="s">
        <v>46</v>
      </c>
      <c r="D136" s="21">
        <v>2022</v>
      </c>
      <c r="E136" s="21" t="s">
        <v>933</v>
      </c>
      <c r="F136" s="21" t="s">
        <v>536</v>
      </c>
      <c r="G136" s="21" t="str">
        <f>HYPERLINK("http://dx.doi.org/10.1038/s41598-022-13064-w","http://dx.doi.org/10.1038/s41598-022-13064-w")</f>
        <v>http://dx.doi.org/10.1038/s41598-022-13064-w</v>
      </c>
      <c r="H136" s="21" t="s">
        <v>2826</v>
      </c>
      <c r="I136" s="21" t="s">
        <v>2835</v>
      </c>
      <c r="J136" s="21" t="s">
        <v>2219</v>
      </c>
      <c r="K136" s="20" t="s">
        <v>0</v>
      </c>
    </row>
    <row r="137" spans="1:11" x14ac:dyDescent="0.2">
      <c r="A137" s="30" t="s">
        <v>2821</v>
      </c>
      <c r="B137" s="21" t="s">
        <v>434</v>
      </c>
      <c r="C137" s="21" t="s">
        <v>435</v>
      </c>
      <c r="D137" s="21">
        <v>2003</v>
      </c>
      <c r="E137" s="21" t="s">
        <v>926</v>
      </c>
      <c r="F137" s="21" t="s">
        <v>209</v>
      </c>
      <c r="G137" s="21" t="str">
        <f>HYPERLINK("http://dx.doi.org/10.1007/BF02978508","http://dx.doi.org/10.1007/BF02978508")</f>
        <v>http://dx.doi.org/10.1007/BF02978508</v>
      </c>
      <c r="H137" s="21" t="s">
        <v>2826</v>
      </c>
      <c r="I137" s="21" t="s">
        <v>2832</v>
      </c>
      <c r="J137" s="21" t="s">
        <v>2847</v>
      </c>
      <c r="K137" s="20" t="s">
        <v>0</v>
      </c>
    </row>
    <row r="138" spans="1:11" x14ac:dyDescent="0.2">
      <c r="A138" s="30" t="s">
        <v>1569</v>
      </c>
      <c r="B138" s="21" t="s">
        <v>2126</v>
      </c>
      <c r="C138" s="21" t="s">
        <v>1315</v>
      </c>
      <c r="D138" s="21">
        <v>2005</v>
      </c>
      <c r="E138" s="21" t="s">
        <v>2127</v>
      </c>
      <c r="F138" s="21" t="s">
        <v>2128</v>
      </c>
      <c r="G138" s="21" t="str">
        <f>HYPERLINK("http://dx.doi.org/10.1639/0044-7447(2005)034[0408:EAOPPS]2.0.CO;2","http://dx.doi.org/10.1639/0044-7447(2005)034[0408:EAOPPS]2.0.CO;2")</f>
        <v>http://dx.doi.org/10.1639/0044-7447(2005)034[0408:EAOPPS]2.0.CO;2</v>
      </c>
      <c r="H138" s="21" t="s">
        <v>2826</v>
      </c>
      <c r="I138" s="21" t="s">
        <v>2835</v>
      </c>
      <c r="J138" s="21" t="s">
        <v>2218</v>
      </c>
      <c r="K138" s="20" t="s">
        <v>0</v>
      </c>
    </row>
    <row r="139" spans="1:11" x14ac:dyDescent="0.2">
      <c r="A139" s="30" t="s">
        <v>1569</v>
      </c>
      <c r="B139" s="21" t="s">
        <v>1807</v>
      </c>
      <c r="C139" s="21" t="s">
        <v>1316</v>
      </c>
      <c r="D139" s="21">
        <v>2018</v>
      </c>
      <c r="E139" s="21" t="s">
        <v>926</v>
      </c>
      <c r="F139" s="21" t="s">
        <v>209</v>
      </c>
      <c r="G139" s="21" t="str">
        <f>HYPERLINK("http://dx.doi.org/10.1007/s11367-017-1306-y","http://dx.doi.org/10.1007/s11367-017-1306-y")</f>
        <v>http://dx.doi.org/10.1007/s11367-017-1306-y</v>
      </c>
      <c r="H139" s="21" t="s">
        <v>2826</v>
      </c>
      <c r="I139" s="21" t="s">
        <v>2835</v>
      </c>
      <c r="J139" s="21" t="s">
        <v>2219</v>
      </c>
      <c r="K139" s="20" t="s">
        <v>0</v>
      </c>
    </row>
    <row r="140" spans="1:11" x14ac:dyDescent="0.2">
      <c r="A140" s="30" t="s">
        <v>2821</v>
      </c>
      <c r="B140" s="21" t="s">
        <v>577</v>
      </c>
      <c r="C140" s="21" t="s">
        <v>578</v>
      </c>
      <c r="D140" s="21">
        <v>2019</v>
      </c>
      <c r="E140" s="21" t="s">
        <v>928</v>
      </c>
      <c r="F140" s="21" t="s">
        <v>197</v>
      </c>
      <c r="G140" s="21" t="str">
        <f>HYPERLINK("http://dx.doi.org/10.1016/j.scitotenv.2019.04.211","http://dx.doi.org/10.1016/j.scitotenv.2019.04.211")</f>
        <v>http://dx.doi.org/10.1016/j.scitotenv.2019.04.211</v>
      </c>
      <c r="H140" s="21" t="s">
        <v>2826</v>
      </c>
      <c r="I140" s="21" t="s">
        <v>2900</v>
      </c>
      <c r="J140" s="21" t="s">
        <v>2828</v>
      </c>
      <c r="K140" s="20" t="s">
        <v>0</v>
      </c>
    </row>
    <row r="141" spans="1:11" x14ac:dyDescent="0.2">
      <c r="A141" s="30" t="s">
        <v>2821</v>
      </c>
      <c r="B141" s="21" t="s">
        <v>237</v>
      </c>
      <c r="C141" s="21" t="s">
        <v>238</v>
      </c>
      <c r="D141" s="21">
        <v>2008</v>
      </c>
      <c r="E141" s="21" t="s">
        <v>945</v>
      </c>
      <c r="F141" s="21" t="s">
        <v>239</v>
      </c>
      <c r="G141" s="21" t="s">
        <v>2262</v>
      </c>
      <c r="H141" s="21" t="s">
        <v>2826</v>
      </c>
      <c r="I141" s="21" t="s">
        <v>2836</v>
      </c>
      <c r="J141" s="21" t="s">
        <v>2830</v>
      </c>
      <c r="K141" s="20" t="s">
        <v>0</v>
      </c>
    </row>
    <row r="142" spans="1:11" x14ac:dyDescent="0.2">
      <c r="A142" s="30" t="s">
        <v>1569</v>
      </c>
      <c r="B142" s="21" t="s">
        <v>1690</v>
      </c>
      <c r="C142" s="21" t="s">
        <v>1691</v>
      </c>
      <c r="D142" s="21">
        <v>2019</v>
      </c>
      <c r="E142" s="21" t="s">
        <v>931</v>
      </c>
      <c r="F142" s="21" t="s">
        <v>147</v>
      </c>
      <c r="G142" s="21" t="str">
        <f>HYPERLINK("http://dx.doi.org/10.1016/j.trd.2019.08.015","http://dx.doi.org/10.1016/j.trd.2019.08.015")</f>
        <v>http://dx.doi.org/10.1016/j.trd.2019.08.015</v>
      </c>
      <c r="H142" s="21" t="s">
        <v>2825</v>
      </c>
      <c r="I142" s="21" t="s">
        <v>2209</v>
      </c>
      <c r="J142" s="21" t="s">
        <v>2865</v>
      </c>
      <c r="K142" s="20" t="s">
        <v>0</v>
      </c>
    </row>
    <row r="143" spans="1:11" x14ac:dyDescent="0.2">
      <c r="A143" s="30" t="s">
        <v>2821</v>
      </c>
      <c r="B143" s="21" t="s">
        <v>804</v>
      </c>
      <c r="C143" s="21" t="s">
        <v>805</v>
      </c>
      <c r="D143" s="21">
        <v>2012</v>
      </c>
      <c r="E143" s="21" t="s">
        <v>1056</v>
      </c>
      <c r="F143" s="21" t="s">
        <v>806</v>
      </c>
      <c r="G143" s="21" t="str">
        <f>HYPERLINK("http://dx.doi.org/10.2217/CLP.12.23","http://dx.doi.org/10.2217/CLP.12.23")</f>
        <v>http://dx.doi.org/10.2217/CLP.12.23</v>
      </c>
      <c r="H143" s="21" t="s">
        <v>2826</v>
      </c>
      <c r="I143" s="21" t="s">
        <v>2836</v>
      </c>
      <c r="J143" s="21" t="s">
        <v>2830</v>
      </c>
      <c r="K143" s="20" t="s">
        <v>0</v>
      </c>
    </row>
    <row r="144" spans="1:11" x14ac:dyDescent="0.2">
      <c r="A144" s="30" t="s">
        <v>2821</v>
      </c>
      <c r="B144" s="21" t="s">
        <v>1054</v>
      </c>
      <c r="C144" s="21" t="s">
        <v>1055</v>
      </c>
      <c r="D144" s="21">
        <v>2023</v>
      </c>
      <c r="E144" s="21" t="s">
        <v>926</v>
      </c>
      <c r="F144" s="21" t="s">
        <v>225</v>
      </c>
      <c r="G144" s="21" t="str">
        <f>HYPERLINK("http://dx.doi.org/10.1007/s11356-023-25405-x","http://dx.doi.org/10.1007/s11356-023-25405-x")</f>
        <v>http://dx.doi.org/10.1007/s11356-023-25405-x</v>
      </c>
      <c r="H144" s="21" t="s">
        <v>2826</v>
      </c>
      <c r="I144" s="21" t="s">
        <v>2833</v>
      </c>
      <c r="J144" s="21" t="s">
        <v>2827</v>
      </c>
      <c r="K144" s="20" t="s">
        <v>0</v>
      </c>
    </row>
    <row r="145" spans="1:11" x14ac:dyDescent="0.2">
      <c r="A145" s="30" t="s">
        <v>2821</v>
      </c>
      <c r="B145" s="21" t="s">
        <v>863</v>
      </c>
      <c r="C145" s="21" t="s">
        <v>64</v>
      </c>
      <c r="D145" s="21">
        <v>2024</v>
      </c>
      <c r="E145" s="21" t="s">
        <v>928</v>
      </c>
      <c r="F145" s="21" t="s">
        <v>173</v>
      </c>
      <c r="G145" s="21" t="str">
        <f>HYPERLINK("http://dx.doi.org/10.1016/j.spc.2024.08.016","http://dx.doi.org/10.1016/j.spc.2024.08.016")</f>
        <v>http://dx.doi.org/10.1016/j.spc.2024.08.016</v>
      </c>
      <c r="H145" s="21" t="s">
        <v>2826</v>
      </c>
      <c r="I145" s="21" t="s">
        <v>2900</v>
      </c>
      <c r="J145" s="21" t="s">
        <v>2828</v>
      </c>
      <c r="K145" s="20" t="s">
        <v>0</v>
      </c>
    </row>
    <row r="146" spans="1:11" x14ac:dyDescent="0.2">
      <c r="A146" s="30" t="s">
        <v>1569</v>
      </c>
      <c r="B146" s="21" t="s">
        <v>1999</v>
      </c>
      <c r="C146" s="21" t="s">
        <v>1317</v>
      </c>
      <c r="D146" s="21">
        <v>2014</v>
      </c>
      <c r="E146" s="21" t="s">
        <v>1951</v>
      </c>
      <c r="F146" s="21" t="s">
        <v>727</v>
      </c>
      <c r="G146" s="21" t="str">
        <f>HYPERLINK("http://dx.doi.org/10.1007/s12544-014-0137-1","http://dx.doi.org/10.1007/s12544-014-0137-1")</f>
        <v>http://dx.doi.org/10.1007/s12544-014-0137-1</v>
      </c>
      <c r="H146" s="21" t="s">
        <v>2825</v>
      </c>
      <c r="I146" s="21" t="s">
        <v>2832</v>
      </c>
      <c r="J146" s="21" t="s">
        <v>2227</v>
      </c>
      <c r="K146" s="20" t="s">
        <v>0</v>
      </c>
    </row>
    <row r="147" spans="1:11" x14ac:dyDescent="0.2">
      <c r="A147" s="30" t="s">
        <v>2821</v>
      </c>
      <c r="B147" s="21" t="s">
        <v>653</v>
      </c>
      <c r="C147" s="21" t="s">
        <v>654</v>
      </c>
      <c r="D147" s="21">
        <v>2020</v>
      </c>
      <c r="E147" s="21" t="s">
        <v>1026</v>
      </c>
      <c r="F147" s="21" t="s">
        <v>655</v>
      </c>
      <c r="G147" s="21" t="str">
        <f>HYPERLINK("http://dx.doi.org/10.1186/s12991-020-00315-1","http://dx.doi.org/10.1186/s12991-020-00315-1")</f>
        <v>http://dx.doi.org/10.1186/s12991-020-00315-1</v>
      </c>
      <c r="H147" s="21" t="s">
        <v>2826</v>
      </c>
      <c r="I147" s="21" t="s">
        <v>2836</v>
      </c>
      <c r="J147" s="21" t="s">
        <v>2830</v>
      </c>
      <c r="K147" s="20" t="s">
        <v>0</v>
      </c>
    </row>
    <row r="148" spans="1:11" x14ac:dyDescent="0.2">
      <c r="A148" s="30" t="s">
        <v>1569</v>
      </c>
      <c r="B148" s="21" t="s">
        <v>1980</v>
      </c>
      <c r="C148" s="21" t="s">
        <v>1318</v>
      </c>
      <c r="D148" s="21">
        <v>2015</v>
      </c>
      <c r="E148" s="21" t="s">
        <v>923</v>
      </c>
      <c r="F148" s="21" t="s">
        <v>1800</v>
      </c>
      <c r="G148" s="21" t="str">
        <f>HYPERLINK("http://dx.doi.org/10.1002/ep.12064","http://dx.doi.org/10.1002/ep.12064")</f>
        <v>http://dx.doi.org/10.1002/ep.12064</v>
      </c>
      <c r="H148" s="21" t="s">
        <v>2826</v>
      </c>
      <c r="I148" s="21" t="s">
        <v>2833</v>
      </c>
      <c r="J148" s="21" t="s">
        <v>2827</v>
      </c>
      <c r="K148" s="20" t="s">
        <v>0</v>
      </c>
    </row>
    <row r="149" spans="1:11" x14ac:dyDescent="0.2">
      <c r="A149" s="30" t="s">
        <v>2821</v>
      </c>
      <c r="B149" s="21" t="s">
        <v>1164</v>
      </c>
      <c r="C149" s="21" t="s">
        <v>1165</v>
      </c>
      <c r="D149" s="21">
        <v>2023</v>
      </c>
      <c r="E149" s="21" t="s">
        <v>964</v>
      </c>
      <c r="F149" s="21" t="s">
        <v>441</v>
      </c>
      <c r="G149" s="21" t="str">
        <f>HYPERLINK("http://dx.doi.org/10.1016/j.eiar.2023.107129","http://dx.doi.org/10.1016/j.eiar.2023.107129")</f>
        <v>http://dx.doi.org/10.1016/j.eiar.2023.107129</v>
      </c>
      <c r="H149" s="21" t="s">
        <v>2825</v>
      </c>
      <c r="I149" s="21" t="s">
        <v>2832</v>
      </c>
      <c r="J149" s="21" t="s">
        <v>2881</v>
      </c>
      <c r="K149" s="20" t="s">
        <v>0</v>
      </c>
    </row>
    <row r="150" spans="1:11" x14ac:dyDescent="0.2">
      <c r="A150" s="30" t="s">
        <v>1569</v>
      </c>
      <c r="B150" s="21" t="s">
        <v>1804</v>
      </c>
      <c r="C150" s="21" t="s">
        <v>1319</v>
      </c>
      <c r="D150" s="21">
        <v>2018</v>
      </c>
      <c r="E150" s="21" t="s">
        <v>931</v>
      </c>
      <c r="F150" s="21" t="s">
        <v>1238</v>
      </c>
      <c r="G150" s="21" t="str">
        <f>HYPERLINK("http://dx.doi.org/10.1016/j.compchemeng.2017.11.014","http://dx.doi.org/10.1016/j.compchemeng.2017.11.014")</f>
        <v>http://dx.doi.org/10.1016/j.compchemeng.2017.11.014</v>
      </c>
      <c r="H150" s="21" t="s">
        <v>2826</v>
      </c>
      <c r="I150" s="21" t="s">
        <v>2835</v>
      </c>
      <c r="J150" s="21" t="s">
        <v>2218</v>
      </c>
      <c r="K150" s="20" t="s">
        <v>0</v>
      </c>
    </row>
    <row r="151" spans="1:11" x14ac:dyDescent="0.2">
      <c r="A151" s="30" t="s">
        <v>1569</v>
      </c>
      <c r="B151" s="21" t="s">
        <v>1706</v>
      </c>
      <c r="C151" s="21" t="s">
        <v>1592</v>
      </c>
      <c r="D151" s="21">
        <v>2019</v>
      </c>
      <c r="E151" s="21" t="s">
        <v>928</v>
      </c>
      <c r="F151" s="21" t="s">
        <v>213</v>
      </c>
      <c r="G151" s="21" t="str">
        <f>HYPERLINK("http://dx.doi.org/10.1016/j.resconrec.2019.03.011","http://dx.doi.org/10.1016/j.resconrec.2019.03.011")</f>
        <v>http://dx.doi.org/10.1016/j.resconrec.2019.03.011</v>
      </c>
      <c r="H151" s="21" t="s">
        <v>2826</v>
      </c>
      <c r="I151" s="21" t="s">
        <v>2832</v>
      </c>
      <c r="J151" s="21" t="s">
        <v>2847</v>
      </c>
      <c r="K151" s="20" t="s">
        <v>0</v>
      </c>
    </row>
    <row r="152" spans="1:11" x14ac:dyDescent="0.2">
      <c r="A152" s="30" t="s">
        <v>1569</v>
      </c>
      <c r="B152" s="21" t="s">
        <v>1965</v>
      </c>
      <c r="C152" s="21" t="s">
        <v>1320</v>
      </c>
      <c r="D152" s="21">
        <v>2015</v>
      </c>
      <c r="E152" s="21" t="s">
        <v>929</v>
      </c>
      <c r="F152" s="21" t="s">
        <v>1916</v>
      </c>
      <c r="G152" s="21" t="str">
        <f>HYPERLINK("http://dx.doi.org/10.1007/s10163-014-0300-8","http://dx.doi.org/10.1007/s10163-014-0300-8")</f>
        <v>http://dx.doi.org/10.1007/s10163-014-0300-8</v>
      </c>
      <c r="H152" s="21" t="s">
        <v>2826</v>
      </c>
      <c r="I152" s="21" t="s">
        <v>2835</v>
      </c>
      <c r="J152" s="21" t="s">
        <v>2214</v>
      </c>
      <c r="K152" s="20" t="s">
        <v>0</v>
      </c>
    </row>
    <row r="153" spans="1:11" x14ac:dyDescent="0.2">
      <c r="A153" s="30" t="s">
        <v>2821</v>
      </c>
      <c r="B153" s="21" t="s">
        <v>343</v>
      </c>
      <c r="C153" s="21" t="s">
        <v>344</v>
      </c>
      <c r="D153" s="21">
        <v>2017</v>
      </c>
      <c r="E153" s="21" t="s">
        <v>925</v>
      </c>
      <c r="F153" s="21" t="s">
        <v>144</v>
      </c>
      <c r="G153" s="21" t="str">
        <f>HYPERLINK("http://dx.doi.org/10.1016/j.jclepro.2016.11.134","http://dx.doi.org/10.1016/j.jclepro.2016.11.134")</f>
        <v>http://dx.doi.org/10.1016/j.jclepro.2016.11.134</v>
      </c>
      <c r="H153" s="21" t="s">
        <v>2826</v>
      </c>
      <c r="I153" s="21" t="s">
        <v>2835</v>
      </c>
      <c r="J153" s="21" t="s">
        <v>2218</v>
      </c>
      <c r="K153" s="20" t="s">
        <v>0</v>
      </c>
    </row>
    <row r="154" spans="1:11" x14ac:dyDescent="0.2">
      <c r="A154" s="30" t="s">
        <v>1569</v>
      </c>
      <c r="B154" s="21" t="s">
        <v>1681</v>
      </c>
      <c r="C154" s="21" t="s">
        <v>1576</v>
      </c>
      <c r="D154" s="21">
        <v>2019</v>
      </c>
      <c r="E154" s="21" t="s">
        <v>930</v>
      </c>
      <c r="F154" s="21" t="s">
        <v>1682</v>
      </c>
      <c r="G154" s="21" t="str">
        <f>HYPERLINK("http://dx.doi.org/10.1039/c9en00603f","http://dx.doi.org/10.1039/c9en00603f")</f>
        <v>http://dx.doi.org/10.1039/c9en00603f</v>
      </c>
      <c r="H154" s="21" t="s">
        <v>2826</v>
      </c>
      <c r="I154" s="21" t="s">
        <v>2835</v>
      </c>
      <c r="J154" s="21" t="s">
        <v>2218</v>
      </c>
      <c r="K154" s="20" t="s">
        <v>0</v>
      </c>
    </row>
    <row r="155" spans="1:11" x14ac:dyDescent="0.2">
      <c r="A155" s="30" t="s">
        <v>1569</v>
      </c>
      <c r="B155" s="21" t="s">
        <v>1851</v>
      </c>
      <c r="C155" s="21" t="s">
        <v>1321</v>
      </c>
      <c r="D155" s="21">
        <v>2017</v>
      </c>
      <c r="E155" s="21" t="s">
        <v>923</v>
      </c>
      <c r="F155" s="21" t="s">
        <v>1114</v>
      </c>
      <c r="G155" s="21" t="str">
        <f>HYPERLINK("http://dx.doi.org/10.1111/gcbb.12425","http://dx.doi.org/10.1111/gcbb.12425")</f>
        <v>http://dx.doi.org/10.1111/gcbb.12425</v>
      </c>
      <c r="H155" s="21" t="s">
        <v>2826</v>
      </c>
      <c r="I155" s="21" t="s">
        <v>2833</v>
      </c>
      <c r="J155" s="21" t="s">
        <v>2827</v>
      </c>
      <c r="K155" s="20" t="s">
        <v>0</v>
      </c>
    </row>
    <row r="156" spans="1:11" x14ac:dyDescent="0.2">
      <c r="A156" s="30" t="s">
        <v>2821</v>
      </c>
      <c r="B156" s="21" t="s">
        <v>268</v>
      </c>
      <c r="C156" s="21" t="s">
        <v>269</v>
      </c>
      <c r="D156" s="21">
        <v>2021</v>
      </c>
      <c r="E156" s="21" t="s">
        <v>928</v>
      </c>
      <c r="F156" s="21" t="s">
        <v>213</v>
      </c>
      <c r="G156" s="21" t="str">
        <f>HYPERLINK("http://dx.doi.org/10.1016/j.resconrec.2021.105633","http://dx.doi.org/10.1016/j.resconrec.2021.105633")</f>
        <v>http://dx.doi.org/10.1016/j.resconrec.2021.105633</v>
      </c>
      <c r="H156" s="21" t="s">
        <v>2826</v>
      </c>
      <c r="I156" s="21" t="s">
        <v>2835</v>
      </c>
      <c r="J156" s="21" t="s">
        <v>2218</v>
      </c>
      <c r="K156" s="20" t="s">
        <v>0</v>
      </c>
    </row>
    <row r="157" spans="1:11" x14ac:dyDescent="0.2">
      <c r="A157" s="30" t="s">
        <v>2821</v>
      </c>
      <c r="B157" s="21" t="s">
        <v>627</v>
      </c>
      <c r="C157" s="21" t="s">
        <v>628</v>
      </c>
      <c r="D157" s="21">
        <v>2019</v>
      </c>
      <c r="E157" s="21" t="s">
        <v>995</v>
      </c>
      <c r="F157" s="21" t="s">
        <v>213</v>
      </c>
      <c r="G157" s="21" t="str">
        <f>HYPERLINK("http://dx.doi.org/10.1016/j.resconrec.2018.10.003","http://dx.doi.org/10.1016/j.resconrec.2018.10.003")</f>
        <v>http://dx.doi.org/10.1016/j.resconrec.2018.10.003</v>
      </c>
      <c r="H157" s="21" t="s">
        <v>2825</v>
      </c>
      <c r="I157" s="21" t="s">
        <v>2832</v>
      </c>
      <c r="J157" s="21" t="s">
        <v>2897</v>
      </c>
      <c r="K157" s="20" t="s">
        <v>0</v>
      </c>
    </row>
    <row r="158" spans="1:11" x14ac:dyDescent="0.2">
      <c r="A158" s="30" t="s">
        <v>1569</v>
      </c>
      <c r="B158" s="21" t="s">
        <v>2032</v>
      </c>
      <c r="C158" s="21" t="s">
        <v>1322</v>
      </c>
      <c r="D158" s="21">
        <v>2014</v>
      </c>
      <c r="E158" s="21" t="s">
        <v>926</v>
      </c>
      <c r="F158" s="21" t="s">
        <v>209</v>
      </c>
      <c r="G158" s="21" t="str">
        <f>HYPERLINK("http://dx.doi.org/10.1007/s11367-013-0631-z","http://dx.doi.org/10.1007/s11367-013-0631-z")</f>
        <v>http://dx.doi.org/10.1007/s11367-013-0631-z</v>
      </c>
      <c r="H158" s="21" t="s">
        <v>2826</v>
      </c>
      <c r="I158" s="21" t="s">
        <v>2835</v>
      </c>
      <c r="J158" s="21" t="s">
        <v>2218</v>
      </c>
      <c r="K158" s="20" t="s">
        <v>0</v>
      </c>
    </row>
    <row r="159" spans="1:11" x14ac:dyDescent="0.2">
      <c r="A159" s="30" t="s">
        <v>1569</v>
      </c>
      <c r="B159" s="21" t="s">
        <v>2029</v>
      </c>
      <c r="C159" s="21" t="s">
        <v>1323</v>
      </c>
      <c r="D159" s="21">
        <v>2014</v>
      </c>
      <c r="E159" s="21" t="s">
        <v>923</v>
      </c>
      <c r="F159" s="21" t="s">
        <v>127</v>
      </c>
      <c r="G159" s="21" t="str">
        <f>HYPERLINK("http://dx.doi.org/10.1111/jiec.12086","http://dx.doi.org/10.1111/jiec.12086")</f>
        <v>http://dx.doi.org/10.1111/jiec.12086</v>
      </c>
      <c r="H159" s="21" t="s">
        <v>2826</v>
      </c>
      <c r="I159" s="21" t="s">
        <v>2835</v>
      </c>
      <c r="J159" s="21" t="s">
        <v>2214</v>
      </c>
      <c r="K159" s="20" t="s">
        <v>0</v>
      </c>
    </row>
    <row r="160" spans="1:11" x14ac:dyDescent="0.2">
      <c r="A160" s="30" t="s">
        <v>2821</v>
      </c>
      <c r="B160" s="21" t="s">
        <v>669</v>
      </c>
      <c r="C160" s="21" t="s">
        <v>670</v>
      </c>
      <c r="D160" s="21">
        <v>2023</v>
      </c>
      <c r="E160" s="21" t="s">
        <v>923</v>
      </c>
      <c r="F160" s="21" t="s">
        <v>671</v>
      </c>
      <c r="G160" s="21" t="str">
        <f>HYPERLINK("http://dx.doi.org/10.1161/JAHA.122.026318","http://dx.doi.org/10.1161/JAHA.122.026318")</f>
        <v>http://dx.doi.org/10.1161/JAHA.122.026318</v>
      </c>
      <c r="H160" s="21" t="s">
        <v>2826</v>
      </c>
      <c r="I160" s="21" t="s">
        <v>2836</v>
      </c>
      <c r="J160" s="21" t="s">
        <v>2830</v>
      </c>
      <c r="K160" s="20" t="s">
        <v>0</v>
      </c>
    </row>
    <row r="161" spans="1:11" x14ac:dyDescent="0.2">
      <c r="A161" s="30" t="s">
        <v>1569</v>
      </c>
      <c r="B161" s="21" t="s">
        <v>2049</v>
      </c>
      <c r="C161" s="21" t="s">
        <v>58</v>
      </c>
      <c r="D161" s="21">
        <v>2013</v>
      </c>
      <c r="E161" s="21" t="s">
        <v>926</v>
      </c>
      <c r="F161" s="21" t="s">
        <v>209</v>
      </c>
      <c r="G161" s="21" t="str">
        <f>HYPERLINK("http://dx.doi.org/10.1007/s11367-012-0528-2","http://dx.doi.org/10.1007/s11367-012-0528-2")</f>
        <v>http://dx.doi.org/10.1007/s11367-012-0528-2</v>
      </c>
      <c r="H161" s="21" t="s">
        <v>2826</v>
      </c>
      <c r="I161" s="21" t="s">
        <v>2835</v>
      </c>
      <c r="J161" s="21" t="s">
        <v>2218</v>
      </c>
      <c r="K161" s="20" t="s">
        <v>0</v>
      </c>
    </row>
    <row r="162" spans="1:11" x14ac:dyDescent="0.2">
      <c r="A162" s="30" t="s">
        <v>1569</v>
      </c>
      <c r="B162" s="21" t="s">
        <v>1971</v>
      </c>
      <c r="C162" s="21" t="s">
        <v>1324</v>
      </c>
      <c r="D162" s="21">
        <v>2015</v>
      </c>
      <c r="E162" s="21" t="s">
        <v>1034</v>
      </c>
      <c r="F162" s="21" t="s">
        <v>1972</v>
      </c>
      <c r="G162" s="21" t="str">
        <f>HYPERLINK("http://dx.doi.org/10.1080/1943815X.2015.1062030","http://dx.doi.org/10.1080/1943815X.2015.1062030")</f>
        <v>http://dx.doi.org/10.1080/1943815X.2015.1062030</v>
      </c>
      <c r="H162" s="21" t="s">
        <v>2826</v>
      </c>
      <c r="I162" s="21" t="s">
        <v>2832</v>
      </c>
      <c r="J162" s="21" t="s">
        <v>2847</v>
      </c>
      <c r="K162" s="20" t="s">
        <v>0</v>
      </c>
    </row>
    <row r="163" spans="1:11" x14ac:dyDescent="0.2">
      <c r="A163" s="30" t="s">
        <v>1569</v>
      </c>
      <c r="B163" s="21" t="s">
        <v>2138</v>
      </c>
      <c r="C163" s="21" t="s">
        <v>1670</v>
      </c>
      <c r="D163" s="21">
        <v>2002</v>
      </c>
      <c r="E163" s="21" t="s">
        <v>926</v>
      </c>
      <c r="F163" s="21" t="s">
        <v>209</v>
      </c>
      <c r="G163" s="21" t="str">
        <f>HYPERLINK("http://dx.doi.org/10.1007/BF02978850","http://dx.doi.org/10.1007/BF02978850")</f>
        <v>http://dx.doi.org/10.1007/BF02978850</v>
      </c>
      <c r="H163" s="21" t="s">
        <v>2826</v>
      </c>
      <c r="I163" s="21" t="s">
        <v>2835</v>
      </c>
      <c r="J163" s="21" t="s">
        <v>2218</v>
      </c>
      <c r="K163" s="20" t="s">
        <v>0</v>
      </c>
    </row>
    <row r="164" spans="1:11" x14ac:dyDescent="0.2">
      <c r="A164" s="30" t="s">
        <v>1569</v>
      </c>
      <c r="B164" s="21" t="s">
        <v>2000</v>
      </c>
      <c r="C164" s="21" t="s">
        <v>1325</v>
      </c>
      <c r="D164" s="21">
        <v>2014</v>
      </c>
      <c r="E164" s="21" t="s">
        <v>942</v>
      </c>
      <c r="F164" s="21" t="s">
        <v>194</v>
      </c>
      <c r="G164" s="21" t="str">
        <f>HYPERLINK("http://dx.doi.org/10.1002/ente.201402097","http://dx.doi.org/10.1002/ente.201402097")</f>
        <v>http://dx.doi.org/10.1002/ente.201402097</v>
      </c>
      <c r="H164" s="21" t="s">
        <v>2825</v>
      </c>
      <c r="I164" s="21" t="s">
        <v>2835</v>
      </c>
      <c r="J164" s="21" t="s">
        <v>2218</v>
      </c>
      <c r="K164" s="20" t="s">
        <v>0</v>
      </c>
    </row>
    <row r="165" spans="1:11" x14ac:dyDescent="0.2">
      <c r="A165" s="30" t="s">
        <v>1569</v>
      </c>
      <c r="B165" s="21" t="s">
        <v>1755</v>
      </c>
      <c r="C165" s="21" t="s">
        <v>1326</v>
      </c>
      <c r="D165" s="21">
        <v>2018</v>
      </c>
      <c r="E165" s="21" t="s">
        <v>995</v>
      </c>
      <c r="F165" s="21" t="s">
        <v>1756</v>
      </c>
      <c r="G165" s="21" t="str">
        <f>HYPERLINK("http://dx.doi.org/10.1016/j.ecolind.2016.03.028","http://dx.doi.org/10.1016/j.ecolind.2016.03.028")</f>
        <v>http://dx.doi.org/10.1016/j.ecolind.2016.03.028</v>
      </c>
      <c r="H165" s="21" t="s">
        <v>2826</v>
      </c>
      <c r="I165" s="21" t="s">
        <v>2835</v>
      </c>
      <c r="J165" s="21" t="s">
        <v>2218</v>
      </c>
      <c r="K165" s="20" t="s">
        <v>0</v>
      </c>
    </row>
    <row r="166" spans="1:11" x14ac:dyDescent="0.2">
      <c r="A166" s="30" t="s">
        <v>1569</v>
      </c>
      <c r="B166" s="21" t="s">
        <v>1885</v>
      </c>
      <c r="C166" s="21" t="s">
        <v>1327</v>
      </c>
      <c r="D166" s="21">
        <v>2017</v>
      </c>
      <c r="E166" s="21" t="s">
        <v>925</v>
      </c>
      <c r="F166" s="21" t="s">
        <v>144</v>
      </c>
      <c r="G166" s="21" t="str">
        <f>HYPERLINK("http://dx.doi.org/10.1016/j.jclepro.2016.06.077","http://dx.doi.org/10.1016/j.jclepro.2016.06.077")</f>
        <v>http://dx.doi.org/10.1016/j.jclepro.2016.06.077</v>
      </c>
      <c r="H166" s="21" t="s">
        <v>2826</v>
      </c>
      <c r="I166" s="21" t="s">
        <v>2835</v>
      </c>
      <c r="J166" s="21" t="s">
        <v>2218</v>
      </c>
      <c r="K166" s="20" t="s">
        <v>0</v>
      </c>
    </row>
    <row r="167" spans="1:11" x14ac:dyDescent="0.2">
      <c r="A167" s="30" t="s">
        <v>1569</v>
      </c>
      <c r="B167" s="21" t="s">
        <v>1815</v>
      </c>
      <c r="C167" s="21" t="s">
        <v>1328</v>
      </c>
      <c r="D167" s="21">
        <v>2017</v>
      </c>
      <c r="E167" s="21" t="s">
        <v>930</v>
      </c>
      <c r="F167" s="21" t="s">
        <v>469</v>
      </c>
      <c r="G167" s="21" t="str">
        <f>HYPERLINK("http://dx.doi.org/10.1039/c7gc02444d","http://dx.doi.org/10.1039/c7gc02444d")</f>
        <v>http://dx.doi.org/10.1039/c7gc02444d</v>
      </c>
      <c r="H167" s="21" t="s">
        <v>2826</v>
      </c>
      <c r="I167" s="21" t="s">
        <v>2835</v>
      </c>
      <c r="J167" s="21" t="s">
        <v>2218</v>
      </c>
      <c r="K167" s="20" t="s">
        <v>0</v>
      </c>
    </row>
    <row r="168" spans="1:11" x14ac:dyDescent="0.2">
      <c r="A168" s="30" t="s">
        <v>2821</v>
      </c>
      <c r="B168" s="21" t="s">
        <v>656</v>
      </c>
      <c r="C168" s="21" t="s">
        <v>657</v>
      </c>
      <c r="D168" s="21">
        <v>2017</v>
      </c>
      <c r="E168" s="21" t="s">
        <v>991</v>
      </c>
      <c r="F168" s="21" t="s">
        <v>658</v>
      </c>
      <c r="G168" s="21" t="str">
        <f>HYPERLINK("http://dx.doi.org/10.1080/15568318.2016.1276651","http://dx.doi.org/10.1080/15568318.2016.1276651")</f>
        <v>http://dx.doi.org/10.1080/15568318.2016.1276651</v>
      </c>
      <c r="H168" s="21" t="s">
        <v>2825</v>
      </c>
      <c r="I168" s="21" t="s">
        <v>2833</v>
      </c>
      <c r="J168" s="21" t="s">
        <v>2827</v>
      </c>
      <c r="K168" s="20" t="s">
        <v>0</v>
      </c>
    </row>
    <row r="169" spans="1:11" x14ac:dyDescent="0.2">
      <c r="A169" s="30" t="s">
        <v>2821</v>
      </c>
      <c r="B169" s="21" t="s">
        <v>790</v>
      </c>
      <c r="C169" s="21" t="s">
        <v>791</v>
      </c>
      <c r="D169" s="21">
        <v>2021</v>
      </c>
      <c r="E169" s="21" t="s">
        <v>923</v>
      </c>
      <c r="F169" s="21" t="s">
        <v>792</v>
      </c>
      <c r="G169" s="21" t="str">
        <f>HYPERLINK("http://dx.doi.org/10.1111/add.15370","http://dx.doi.org/10.1111/add.15370")</f>
        <v>http://dx.doi.org/10.1111/add.15370</v>
      </c>
      <c r="H169" s="21" t="s">
        <v>2826</v>
      </c>
      <c r="I169" s="21" t="s">
        <v>2836</v>
      </c>
      <c r="J169" s="21" t="s">
        <v>2830</v>
      </c>
      <c r="K169" s="20" t="s">
        <v>0</v>
      </c>
    </row>
    <row r="170" spans="1:11" x14ac:dyDescent="0.2">
      <c r="A170" s="30" t="s">
        <v>2821</v>
      </c>
      <c r="B170" s="21" t="s">
        <v>222</v>
      </c>
      <c r="C170" s="21" t="s">
        <v>52</v>
      </c>
      <c r="D170" s="21">
        <v>2020</v>
      </c>
      <c r="E170" s="21" t="s">
        <v>925</v>
      </c>
      <c r="F170" s="21" t="s">
        <v>167</v>
      </c>
      <c r="G170" s="21" t="str">
        <f>HYPERLINK("http://dx.doi.org/10.1016/j.apenergy.2020.115021","http://dx.doi.org/10.1016/j.apenergy.2020.115021")</f>
        <v>http://dx.doi.org/10.1016/j.apenergy.2020.115021</v>
      </c>
      <c r="H170" s="21" t="s">
        <v>2826</v>
      </c>
      <c r="I170" s="21" t="s">
        <v>2835</v>
      </c>
      <c r="J170" s="21" t="s">
        <v>2218</v>
      </c>
      <c r="K170" s="20" t="s">
        <v>0</v>
      </c>
    </row>
    <row r="171" spans="1:11" x14ac:dyDescent="0.2">
      <c r="A171" s="30" t="s">
        <v>1569</v>
      </c>
      <c r="B171" s="21" t="s">
        <v>1808</v>
      </c>
      <c r="C171" s="21" t="s">
        <v>1329</v>
      </c>
      <c r="D171" s="21">
        <v>2018</v>
      </c>
      <c r="E171" s="21" t="s">
        <v>931</v>
      </c>
      <c r="F171" s="21" t="s">
        <v>147</v>
      </c>
      <c r="G171" s="21" t="str">
        <f>HYPERLINK("http://dx.doi.org/10.1016/j.trd.2017.10.017","http://dx.doi.org/10.1016/j.trd.2017.10.017")</f>
        <v>http://dx.doi.org/10.1016/j.trd.2017.10.017</v>
      </c>
      <c r="H171" s="21" t="s">
        <v>2825</v>
      </c>
      <c r="I171" s="21" t="s">
        <v>2832</v>
      </c>
      <c r="J171" s="21" t="s">
        <v>2889</v>
      </c>
      <c r="K171" s="20" t="s">
        <v>0</v>
      </c>
    </row>
    <row r="172" spans="1:11" x14ac:dyDescent="0.2">
      <c r="A172" s="30" t="s">
        <v>1569</v>
      </c>
      <c r="B172" s="21" t="s">
        <v>1793</v>
      </c>
      <c r="C172" s="21" t="s">
        <v>48</v>
      </c>
      <c r="D172" s="21">
        <v>2018</v>
      </c>
      <c r="E172" s="21" t="s">
        <v>924</v>
      </c>
      <c r="F172" s="21" t="s">
        <v>357</v>
      </c>
      <c r="G172" s="21" t="str">
        <f>HYPERLINK("http://dx.doi.org/10.1021/acs.est.8b00261","http://dx.doi.org/10.1021/acs.est.8b00261")</f>
        <v>http://dx.doi.org/10.1021/acs.est.8b00261</v>
      </c>
      <c r="H172" s="21" t="s">
        <v>2825</v>
      </c>
      <c r="I172" s="21" t="s">
        <v>2835</v>
      </c>
      <c r="J172" s="21" t="s">
        <v>2218</v>
      </c>
      <c r="K172" s="20" t="s">
        <v>0</v>
      </c>
    </row>
    <row r="173" spans="1:11" x14ac:dyDescent="0.2">
      <c r="A173" s="30" t="s">
        <v>2821</v>
      </c>
      <c r="B173" s="21" t="s">
        <v>616</v>
      </c>
      <c r="C173" s="21" t="s">
        <v>617</v>
      </c>
      <c r="D173" s="21">
        <v>2021</v>
      </c>
      <c r="E173" s="21" t="s">
        <v>925</v>
      </c>
      <c r="F173" s="21" t="s">
        <v>144</v>
      </c>
      <c r="G173" s="21" t="str">
        <f>HYPERLINK("http://dx.doi.org/10.1016/j.jclepro.2021.127702","http://dx.doi.org/10.1016/j.jclepro.2021.127702")</f>
        <v>http://dx.doi.org/10.1016/j.jclepro.2021.127702</v>
      </c>
      <c r="H173" s="21" t="s">
        <v>2826</v>
      </c>
      <c r="I173" s="21" t="s">
        <v>2833</v>
      </c>
      <c r="J173" s="21" t="s">
        <v>2827</v>
      </c>
      <c r="K173" s="20" t="s">
        <v>0</v>
      </c>
    </row>
    <row r="174" spans="1:11" x14ac:dyDescent="0.2">
      <c r="A174" s="30" t="s">
        <v>1569</v>
      </c>
      <c r="B174" s="21" t="s">
        <v>1907</v>
      </c>
      <c r="C174" s="21" t="s">
        <v>1330</v>
      </c>
      <c r="D174" s="21">
        <v>2016</v>
      </c>
      <c r="E174" s="21" t="s">
        <v>925</v>
      </c>
      <c r="F174" s="21" t="s">
        <v>167</v>
      </c>
      <c r="G174" s="21" t="str">
        <f>HYPERLINK("http://dx.doi.org/10.1016/j.apenergy.2016.07.040","http://dx.doi.org/10.1016/j.apenergy.2016.07.040")</f>
        <v>http://dx.doi.org/10.1016/j.apenergy.2016.07.040</v>
      </c>
      <c r="H174" s="21" t="s">
        <v>2826</v>
      </c>
      <c r="I174" s="21" t="s">
        <v>2835</v>
      </c>
      <c r="J174" s="21" t="s">
        <v>2218</v>
      </c>
      <c r="K174" s="20" t="s">
        <v>0</v>
      </c>
    </row>
    <row r="175" spans="1:11" x14ac:dyDescent="0.2">
      <c r="A175" s="30" t="s">
        <v>2821</v>
      </c>
      <c r="B175" s="21" t="s">
        <v>764</v>
      </c>
      <c r="C175" s="21" t="s">
        <v>765</v>
      </c>
      <c r="D175" s="21">
        <v>2018</v>
      </c>
      <c r="E175" s="21" t="s">
        <v>975</v>
      </c>
      <c r="F175" s="21" t="s">
        <v>766</v>
      </c>
      <c r="G175" s="21" t="str">
        <f>HYPERLINK("http://dx.doi.org/10.1016/j.drugalcdep.2018.02.027","http://dx.doi.org/10.1016/j.drugalcdep.2018.02.027")</f>
        <v>http://dx.doi.org/10.1016/j.drugalcdep.2018.02.027</v>
      </c>
      <c r="H175" s="21" t="s">
        <v>2826</v>
      </c>
      <c r="I175" s="21" t="s">
        <v>2836</v>
      </c>
      <c r="J175" s="21" t="s">
        <v>2830</v>
      </c>
      <c r="K175" s="20" t="s">
        <v>0</v>
      </c>
    </row>
    <row r="176" spans="1:11" x14ac:dyDescent="0.2">
      <c r="A176" s="30" t="s">
        <v>1569</v>
      </c>
      <c r="B176" s="21" t="s">
        <v>1886</v>
      </c>
      <c r="C176" s="21" t="s">
        <v>1331</v>
      </c>
      <c r="D176" s="21">
        <v>2017</v>
      </c>
      <c r="E176" s="21" t="s">
        <v>948</v>
      </c>
      <c r="F176" s="21" t="s">
        <v>1887</v>
      </c>
      <c r="G176" s="21" t="str">
        <f>HYPERLINK("http://dx.doi.org/10.1108/IJSHE-04-2015-0069","http://dx.doi.org/10.1108/IJSHE-04-2015-0069")</f>
        <v>http://dx.doi.org/10.1108/IJSHE-04-2015-0069</v>
      </c>
      <c r="H176" s="21" t="s">
        <v>2826</v>
      </c>
      <c r="I176" s="21" t="s">
        <v>2835</v>
      </c>
      <c r="J176" s="21" t="s">
        <v>2216</v>
      </c>
      <c r="K176" s="20" t="s">
        <v>0</v>
      </c>
    </row>
    <row r="177" spans="1:11" x14ac:dyDescent="0.2">
      <c r="A177" s="30" t="s">
        <v>2821</v>
      </c>
      <c r="B177" s="21" t="s">
        <v>160</v>
      </c>
      <c r="C177" s="21" t="s">
        <v>161</v>
      </c>
      <c r="D177" s="21">
        <v>2024</v>
      </c>
      <c r="E177" s="21" t="s">
        <v>928</v>
      </c>
      <c r="F177" s="21" t="s">
        <v>162</v>
      </c>
      <c r="G177" s="21" t="str">
        <f>HYPERLINK("http://dx.doi.org/10.1016/j.susmat.2024.e01010","http://dx.doi.org/10.1016/j.susmat.2024.e01010")</f>
        <v>http://dx.doi.org/10.1016/j.susmat.2024.e01010</v>
      </c>
      <c r="H177" s="21" t="s">
        <v>2826</v>
      </c>
      <c r="I177" s="21" t="s">
        <v>2900</v>
      </c>
      <c r="J177" s="21" t="s">
        <v>2828</v>
      </c>
      <c r="K177" s="20" t="s">
        <v>0</v>
      </c>
    </row>
    <row r="178" spans="1:11" x14ac:dyDescent="0.2">
      <c r="A178" s="30" t="s">
        <v>1569</v>
      </c>
      <c r="B178" s="21" t="s">
        <v>2010</v>
      </c>
      <c r="C178" s="21" t="s">
        <v>1332</v>
      </c>
      <c r="D178" s="21">
        <v>2014</v>
      </c>
      <c r="E178" s="21" t="s">
        <v>995</v>
      </c>
      <c r="F178" s="21" t="s">
        <v>2011</v>
      </c>
      <c r="G178" s="21" t="str">
        <f>HYPERLINK("http://dx.doi.org/10.1016/j.seta.2014.02.003","http://dx.doi.org/10.1016/j.seta.2014.02.003")</f>
        <v>http://dx.doi.org/10.1016/j.seta.2014.02.003</v>
      </c>
      <c r="H178" s="21" t="s">
        <v>2825</v>
      </c>
      <c r="I178" s="21" t="s">
        <v>2832</v>
      </c>
      <c r="J178" s="21" t="s">
        <v>2899</v>
      </c>
      <c r="K178" s="20" t="s">
        <v>0</v>
      </c>
    </row>
    <row r="179" spans="1:11" x14ac:dyDescent="0.2">
      <c r="A179" s="30" t="s">
        <v>1569</v>
      </c>
      <c r="B179" s="21" t="s">
        <v>2044</v>
      </c>
      <c r="C179" s="21" t="s">
        <v>1653</v>
      </c>
      <c r="D179" s="21">
        <v>2013</v>
      </c>
      <c r="E179" s="21" t="s">
        <v>41</v>
      </c>
      <c r="F179" s="21" t="s">
        <v>90</v>
      </c>
      <c r="G179" s="21" t="str">
        <f>HYPERLINK("http://dx.doi.org/10.3390/en6073182","http://dx.doi.org/10.3390/en6073182")</f>
        <v>http://dx.doi.org/10.3390/en6073182</v>
      </c>
      <c r="H179" s="21" t="s">
        <v>2825</v>
      </c>
      <c r="I179" s="21" t="s">
        <v>2832</v>
      </c>
      <c r="J179" s="21" t="s">
        <v>2887</v>
      </c>
      <c r="K179" s="20" t="s">
        <v>0</v>
      </c>
    </row>
    <row r="180" spans="1:11" x14ac:dyDescent="0.2">
      <c r="A180" s="30" t="s">
        <v>2821</v>
      </c>
      <c r="B180" s="21" t="s">
        <v>645</v>
      </c>
      <c r="C180" s="21" t="s">
        <v>646</v>
      </c>
      <c r="D180" s="21">
        <v>2006</v>
      </c>
      <c r="E180" s="21" t="s">
        <v>966</v>
      </c>
      <c r="F180" s="21" t="s">
        <v>647</v>
      </c>
      <c r="G180" s="21" t="str">
        <f>HYPERLINK("http://dx.doi.org/10.1080/09613210600766377","http://dx.doi.org/10.1080/09613210600766377")</f>
        <v>http://dx.doi.org/10.1080/09613210600766377</v>
      </c>
      <c r="H180" s="21" t="s">
        <v>2826</v>
      </c>
      <c r="I180" s="21" t="s">
        <v>2900</v>
      </c>
      <c r="J180" s="21" t="s">
        <v>2828</v>
      </c>
      <c r="K180" s="20" t="s">
        <v>0</v>
      </c>
    </row>
    <row r="181" spans="1:11" x14ac:dyDescent="0.2">
      <c r="A181" s="30" t="s">
        <v>2821</v>
      </c>
      <c r="B181" s="21" t="s">
        <v>1101</v>
      </c>
      <c r="C181" s="21" t="s">
        <v>1066</v>
      </c>
      <c r="D181" s="21">
        <v>2012</v>
      </c>
      <c r="E181" s="21" t="s">
        <v>931</v>
      </c>
      <c r="F181" s="21" t="s">
        <v>306</v>
      </c>
      <c r="G181" s="21" t="str">
        <f>HYPERLINK("http://dx.doi.org/10.1016/j.rser.2011.11.003","http://dx.doi.org/10.1016/j.rser.2011.11.003")</f>
        <v>http://dx.doi.org/10.1016/j.rser.2011.11.003</v>
      </c>
      <c r="H181" s="21" t="s">
        <v>2825</v>
      </c>
      <c r="I181" s="21" t="s">
        <v>2209</v>
      </c>
      <c r="J181" s="21" t="s">
        <v>2866</v>
      </c>
      <c r="K181" s="20" t="s">
        <v>0</v>
      </c>
    </row>
    <row r="182" spans="1:11" x14ac:dyDescent="0.2">
      <c r="A182" s="30" t="s">
        <v>1569</v>
      </c>
      <c r="B182" s="21" t="s">
        <v>1835</v>
      </c>
      <c r="C182" s="21" t="s">
        <v>1333</v>
      </c>
      <c r="D182" s="21">
        <v>2017</v>
      </c>
      <c r="E182" s="21" t="s">
        <v>923</v>
      </c>
      <c r="F182" s="21" t="s">
        <v>127</v>
      </c>
      <c r="G182" s="21" t="str">
        <f>HYPERLINK("http://dx.doi.org/10.1111/jiec.12515","http://dx.doi.org/10.1111/jiec.12515")</f>
        <v>http://dx.doi.org/10.1111/jiec.12515</v>
      </c>
      <c r="H182" s="21" t="s">
        <v>2825</v>
      </c>
      <c r="I182" s="21" t="s">
        <v>2834</v>
      </c>
      <c r="J182" s="21" t="s">
        <v>2302</v>
      </c>
      <c r="K182" s="20" t="s">
        <v>0</v>
      </c>
    </row>
    <row r="183" spans="1:11" x14ac:dyDescent="0.2">
      <c r="A183" s="30" t="s">
        <v>1569</v>
      </c>
      <c r="B183" s="21" t="s">
        <v>1731</v>
      </c>
      <c r="C183" s="21" t="s">
        <v>1613</v>
      </c>
      <c r="D183" s="21">
        <v>2019</v>
      </c>
      <c r="E183" s="21" t="s">
        <v>925</v>
      </c>
      <c r="F183" s="21" t="s">
        <v>144</v>
      </c>
      <c r="G183" s="21" t="str">
        <f>HYPERLINK("http://dx.doi.org/10.1016/j.jclepro.2018.10.343","http://dx.doi.org/10.1016/j.jclepro.2018.10.343")</f>
        <v>http://dx.doi.org/10.1016/j.jclepro.2018.10.343</v>
      </c>
      <c r="H183" s="21" t="s">
        <v>2825</v>
      </c>
      <c r="I183" s="21" t="s">
        <v>2832</v>
      </c>
      <c r="J183" s="21" t="s">
        <v>2228</v>
      </c>
      <c r="K183" s="20" t="s">
        <v>0</v>
      </c>
    </row>
    <row r="184" spans="1:11" x14ac:dyDescent="0.2">
      <c r="A184" s="30" t="s">
        <v>2821</v>
      </c>
      <c r="B184" s="21" t="s">
        <v>640</v>
      </c>
      <c r="C184" s="21" t="s">
        <v>641</v>
      </c>
      <c r="D184" s="21">
        <v>2020</v>
      </c>
      <c r="E184" s="21" t="s">
        <v>1018</v>
      </c>
      <c r="F184" s="21" t="s">
        <v>642</v>
      </c>
      <c r="G184" s="21" t="str">
        <f>HYPERLINK("http://dx.doi.org/10.22319/rmcp.v11i4.5182","http://dx.doi.org/10.22319/rmcp.v11i4.5182")</f>
        <v>http://dx.doi.org/10.22319/rmcp.v11i4.5182</v>
      </c>
      <c r="H184" s="21" t="s">
        <v>2826</v>
      </c>
      <c r="I184" s="21" t="s">
        <v>2836</v>
      </c>
      <c r="J184" s="21" t="s">
        <v>2830</v>
      </c>
      <c r="K184" s="20" t="s">
        <v>0</v>
      </c>
    </row>
    <row r="185" spans="1:11" x14ac:dyDescent="0.2">
      <c r="A185" s="30" t="s">
        <v>2821</v>
      </c>
      <c r="B185" s="21" t="s">
        <v>608</v>
      </c>
      <c r="C185" s="21" t="s">
        <v>609</v>
      </c>
      <c r="D185" s="21">
        <v>2018</v>
      </c>
      <c r="E185" s="21" t="s">
        <v>926</v>
      </c>
      <c r="F185" s="21" t="s">
        <v>610</v>
      </c>
      <c r="G185" s="21" t="str">
        <f>HYPERLINK("http://dx.doi.org/10.1007/s40750-018-0094-3","http://dx.doi.org/10.1007/s40750-018-0094-3")</f>
        <v>http://dx.doi.org/10.1007/s40750-018-0094-3</v>
      </c>
      <c r="H185" s="21" t="s">
        <v>2826</v>
      </c>
      <c r="I185" s="21" t="s">
        <v>2836</v>
      </c>
      <c r="J185" s="21" t="s">
        <v>2830</v>
      </c>
      <c r="K185" s="20" t="s">
        <v>0</v>
      </c>
    </row>
    <row r="186" spans="1:11" x14ac:dyDescent="0.2">
      <c r="A186" s="30" t="s">
        <v>2821</v>
      </c>
      <c r="B186" s="21" t="s">
        <v>872</v>
      </c>
      <c r="C186" s="21" t="s">
        <v>18</v>
      </c>
      <c r="D186" s="21">
        <v>2023</v>
      </c>
      <c r="E186" s="21" t="s">
        <v>925</v>
      </c>
      <c r="F186" s="21" t="s">
        <v>144</v>
      </c>
      <c r="G186" s="21" t="str">
        <f>HYPERLINK("http://dx.doi.org/10.1016/j.jclepro.2023.138935","http://dx.doi.org/10.1016/j.jclepro.2023.138935")</f>
        <v>http://dx.doi.org/10.1016/j.jclepro.2023.138935</v>
      </c>
      <c r="H186" s="21" t="s">
        <v>2826</v>
      </c>
      <c r="I186" s="21" t="s">
        <v>2835</v>
      </c>
      <c r="J186" s="21" t="s">
        <v>2219</v>
      </c>
      <c r="K186" s="20" t="s">
        <v>0</v>
      </c>
    </row>
    <row r="187" spans="1:11" x14ac:dyDescent="0.2">
      <c r="A187" s="30" t="s">
        <v>2821</v>
      </c>
      <c r="B187" s="21" t="s">
        <v>258</v>
      </c>
      <c r="C187" s="21" t="s">
        <v>259</v>
      </c>
      <c r="D187" s="21">
        <v>2023</v>
      </c>
      <c r="E187" s="21" t="s">
        <v>926</v>
      </c>
      <c r="F187" s="21" t="s">
        <v>209</v>
      </c>
      <c r="G187" s="21" t="str">
        <f>HYPERLINK("http://dx.doi.org/10.1007/s11367-023-02147-z","http://dx.doi.org/10.1007/s11367-023-02147-z")</f>
        <v>http://dx.doi.org/10.1007/s11367-023-02147-z</v>
      </c>
      <c r="H187" s="21" t="s">
        <v>2826</v>
      </c>
      <c r="I187" s="21" t="s">
        <v>2835</v>
      </c>
      <c r="J187" s="21" t="s">
        <v>2216</v>
      </c>
      <c r="K187" s="20" t="s">
        <v>0</v>
      </c>
    </row>
    <row r="188" spans="1:11" x14ac:dyDescent="0.2">
      <c r="A188" s="30" t="s">
        <v>2821</v>
      </c>
      <c r="B188" s="21" t="s">
        <v>2371</v>
      </c>
      <c r="C188" s="21" t="s">
        <v>2376</v>
      </c>
      <c r="D188" s="21">
        <v>2025</v>
      </c>
      <c r="E188" s="21" t="s">
        <v>931</v>
      </c>
      <c r="F188" s="21" t="s">
        <v>306</v>
      </c>
      <c r="G188" s="21" t="str">
        <f>HYPERLINK("http://dx.doi.org/10.1016/j.rser.2025.115924","http://dx.doi.org/10.1016/j.rser.2025.115924")</f>
        <v>http://dx.doi.org/10.1016/j.rser.2025.115924</v>
      </c>
      <c r="H188" s="21" t="s">
        <v>2826</v>
      </c>
      <c r="I188" s="21" t="s">
        <v>2900</v>
      </c>
      <c r="J188" s="21" t="s">
        <v>2828</v>
      </c>
      <c r="K188" s="20" t="s">
        <v>0</v>
      </c>
    </row>
    <row r="189" spans="1:11" x14ac:dyDescent="0.2">
      <c r="A189" s="30" t="s">
        <v>2821</v>
      </c>
      <c r="B189" s="21" t="s">
        <v>714</v>
      </c>
      <c r="C189" s="21" t="s">
        <v>715</v>
      </c>
      <c r="D189" s="21">
        <v>2016</v>
      </c>
      <c r="E189" s="21" t="s">
        <v>925</v>
      </c>
      <c r="F189" s="21" t="s">
        <v>167</v>
      </c>
      <c r="G189" s="21" t="str">
        <f>HYPERLINK("http://dx.doi.org/10.1016/j.apenergy.2016.07.122","http://dx.doi.org/10.1016/j.apenergy.2016.07.122")</f>
        <v>http://dx.doi.org/10.1016/j.apenergy.2016.07.122</v>
      </c>
      <c r="H189" s="21" t="s">
        <v>2826</v>
      </c>
      <c r="I189" s="21" t="s">
        <v>2836</v>
      </c>
      <c r="J189" s="21" t="s">
        <v>2830</v>
      </c>
      <c r="K189" s="20" t="s">
        <v>0</v>
      </c>
    </row>
    <row r="190" spans="1:11" x14ac:dyDescent="0.2">
      <c r="A190" s="30" t="s">
        <v>2821</v>
      </c>
      <c r="B190" s="21" t="s">
        <v>184</v>
      </c>
      <c r="C190" s="21" t="s">
        <v>185</v>
      </c>
      <c r="D190" s="21">
        <v>2019</v>
      </c>
      <c r="E190" s="21" t="s">
        <v>925</v>
      </c>
      <c r="F190" s="21" t="s">
        <v>144</v>
      </c>
      <c r="G190" s="21" t="str">
        <f>HYPERLINK("http://dx.doi.org/10.1016/j.jclepro.2018.12.026","http://dx.doi.org/10.1016/j.jclepro.2018.12.026")</f>
        <v>http://dx.doi.org/10.1016/j.jclepro.2018.12.026</v>
      </c>
      <c r="H190" s="21" t="s">
        <v>2826</v>
      </c>
      <c r="I190" s="21" t="s">
        <v>2835</v>
      </c>
      <c r="J190" s="21" t="s">
        <v>2218</v>
      </c>
      <c r="K190" s="20" t="s">
        <v>0</v>
      </c>
    </row>
    <row r="191" spans="1:11" x14ac:dyDescent="0.2">
      <c r="A191" s="30" t="s">
        <v>2821</v>
      </c>
      <c r="B191" s="21" t="s">
        <v>330</v>
      </c>
      <c r="C191" s="21" t="s">
        <v>331</v>
      </c>
      <c r="D191" s="21">
        <v>2023</v>
      </c>
      <c r="E191" s="21" t="s">
        <v>928</v>
      </c>
      <c r="F191" s="21" t="s">
        <v>173</v>
      </c>
      <c r="G191" s="21" t="str">
        <f>HYPERLINK("http://dx.doi.org/10.1016/j.spc.2023.11.002","http://dx.doi.org/10.1016/j.spc.2023.11.002")</f>
        <v>http://dx.doi.org/10.1016/j.spc.2023.11.002</v>
      </c>
      <c r="H191" s="21" t="s">
        <v>2826</v>
      </c>
      <c r="I191" s="21" t="s">
        <v>2835</v>
      </c>
      <c r="J191" s="21" t="s">
        <v>2218</v>
      </c>
      <c r="K191" s="20" t="s">
        <v>0</v>
      </c>
    </row>
    <row r="192" spans="1:11" x14ac:dyDescent="0.2">
      <c r="A192" s="30" t="s">
        <v>1569</v>
      </c>
      <c r="B192" s="21" t="s">
        <v>1990</v>
      </c>
      <c r="C192" s="21" t="s">
        <v>1463</v>
      </c>
      <c r="D192" s="21">
        <v>2015</v>
      </c>
      <c r="E192" s="21" t="s">
        <v>925</v>
      </c>
      <c r="F192" s="21" t="s">
        <v>144</v>
      </c>
      <c r="G192" s="21" t="str">
        <f>HYPERLINK("http://dx.doi.org/10.1016/j.jclepro.2014.10.023","http://dx.doi.org/10.1016/j.jclepro.2014.10.023")</f>
        <v>http://dx.doi.org/10.1016/j.jclepro.2014.10.023</v>
      </c>
      <c r="H192" s="21" t="s">
        <v>2826</v>
      </c>
      <c r="I192" s="21" t="s">
        <v>2835</v>
      </c>
      <c r="J192" s="21" t="s">
        <v>2218</v>
      </c>
      <c r="K192" s="20" t="s">
        <v>0</v>
      </c>
    </row>
    <row r="193" spans="1:11" x14ac:dyDescent="0.2">
      <c r="A193" s="30" t="s">
        <v>2821</v>
      </c>
      <c r="B193" s="21" t="s">
        <v>1169</v>
      </c>
      <c r="C193" s="21" t="s">
        <v>1170</v>
      </c>
      <c r="D193" s="21">
        <v>2023</v>
      </c>
      <c r="E193" s="21" t="s">
        <v>931</v>
      </c>
      <c r="F193" s="21" t="s">
        <v>1171</v>
      </c>
      <c r="G193" s="21" t="str">
        <f>HYPERLINK("http://dx.doi.org/10.1016/j.paerosci.2023.100920","http://dx.doi.org/10.1016/j.paerosci.2023.100920")</f>
        <v>http://dx.doi.org/10.1016/j.paerosci.2023.100920</v>
      </c>
      <c r="H193" s="21" t="s">
        <v>2826</v>
      </c>
      <c r="I193" s="21" t="s">
        <v>2900</v>
      </c>
      <c r="J193" s="21" t="s">
        <v>2828</v>
      </c>
      <c r="K193" s="20" t="s">
        <v>0</v>
      </c>
    </row>
    <row r="194" spans="1:11" x14ac:dyDescent="0.2">
      <c r="A194" s="30" t="s">
        <v>1569</v>
      </c>
      <c r="B194" s="21" t="s">
        <v>1720</v>
      </c>
      <c r="C194" s="21" t="s">
        <v>1605</v>
      </c>
      <c r="D194" s="21">
        <v>2019</v>
      </c>
      <c r="E194" s="21" t="s">
        <v>942</v>
      </c>
      <c r="F194" s="21" t="s">
        <v>279</v>
      </c>
      <c r="G194" s="21" t="str">
        <f>HYPERLINK("http://dx.doi.org/10.1002/cssc.201900007","http://dx.doi.org/10.1002/cssc.201900007")</f>
        <v>http://dx.doi.org/10.1002/cssc.201900007</v>
      </c>
      <c r="H194" s="21" t="s">
        <v>2826</v>
      </c>
      <c r="I194" s="21" t="s">
        <v>2835</v>
      </c>
      <c r="J194" s="21" t="s">
        <v>2218</v>
      </c>
      <c r="K194" s="20" t="s">
        <v>0</v>
      </c>
    </row>
    <row r="195" spans="1:11" x14ac:dyDescent="0.2">
      <c r="A195" s="30" t="s">
        <v>1569</v>
      </c>
      <c r="B195" s="21" t="s">
        <v>1736</v>
      </c>
      <c r="C195" s="21" t="s">
        <v>1617</v>
      </c>
      <c r="D195" s="21">
        <v>2019</v>
      </c>
      <c r="E195" s="21" t="s">
        <v>924</v>
      </c>
      <c r="F195" s="21" t="s">
        <v>175</v>
      </c>
      <c r="G195" s="21" t="str">
        <f>HYPERLINK("http://dx.doi.org/10.1021/acssuschemeng.8b04136","http://dx.doi.org/10.1021/acssuschemeng.8b04136")</f>
        <v>http://dx.doi.org/10.1021/acssuschemeng.8b04136</v>
      </c>
      <c r="H195" s="21" t="s">
        <v>2826</v>
      </c>
      <c r="I195" s="21" t="s">
        <v>2835</v>
      </c>
      <c r="J195" s="21" t="s">
        <v>2218</v>
      </c>
      <c r="K195" s="20" t="s">
        <v>0</v>
      </c>
    </row>
    <row r="196" spans="1:11" x14ac:dyDescent="0.2">
      <c r="A196" s="30" t="s">
        <v>1569</v>
      </c>
      <c r="B196" s="21" t="s">
        <v>1852</v>
      </c>
      <c r="C196" s="21" t="s">
        <v>1334</v>
      </c>
      <c r="D196" s="21">
        <v>2017</v>
      </c>
      <c r="E196" s="21" t="s">
        <v>925</v>
      </c>
      <c r="F196" s="21" t="s">
        <v>144</v>
      </c>
      <c r="G196" s="21" t="str">
        <f>HYPERLINK("http://dx.doi.org/10.1016/j.jclepro.2016.05.158","http://dx.doi.org/10.1016/j.jclepro.2016.05.158")</f>
        <v>http://dx.doi.org/10.1016/j.jclepro.2016.05.158</v>
      </c>
      <c r="H196" s="21" t="s">
        <v>2826</v>
      </c>
      <c r="I196" s="21" t="s">
        <v>2832</v>
      </c>
      <c r="J196" s="21" t="s">
        <v>2847</v>
      </c>
      <c r="K196" s="20" t="s">
        <v>0</v>
      </c>
    </row>
    <row r="197" spans="1:11" x14ac:dyDescent="0.2">
      <c r="A197" s="30" t="s">
        <v>2821</v>
      </c>
      <c r="B197" s="21" t="s">
        <v>437</v>
      </c>
      <c r="C197" s="21" t="s">
        <v>438</v>
      </c>
      <c r="D197" s="21">
        <v>2018</v>
      </c>
      <c r="E197" s="21" t="s">
        <v>930</v>
      </c>
      <c r="F197" s="21" t="s">
        <v>220</v>
      </c>
      <c r="G197" s="21" t="str">
        <f>HYPERLINK("http://dx.doi.org/10.1039/c7ee01657c","http://dx.doi.org/10.1039/c7ee01657c")</f>
        <v>http://dx.doi.org/10.1039/c7ee01657c</v>
      </c>
      <c r="H197" s="21" t="s">
        <v>2826</v>
      </c>
      <c r="I197" s="21" t="s">
        <v>2835</v>
      </c>
      <c r="J197" s="21" t="s">
        <v>2218</v>
      </c>
      <c r="K197" s="20" t="s">
        <v>0</v>
      </c>
    </row>
    <row r="198" spans="1:11" x14ac:dyDescent="0.2">
      <c r="A198" s="30" t="s">
        <v>2821</v>
      </c>
      <c r="B198" s="21" t="s">
        <v>810</v>
      </c>
      <c r="C198" s="21" t="s">
        <v>811</v>
      </c>
      <c r="D198" s="21">
        <v>2024</v>
      </c>
      <c r="E198" s="21" t="s">
        <v>956</v>
      </c>
      <c r="F198" s="21" t="s">
        <v>812</v>
      </c>
      <c r="G198" s="21" t="str">
        <f>HYPERLINK("http://dx.doi.org/10.1186/s41687-024-00797-7","http://dx.doi.org/10.1186/s41687-024-00797-7")</f>
        <v>http://dx.doi.org/10.1186/s41687-024-00797-7</v>
      </c>
      <c r="H198" s="21" t="s">
        <v>2826</v>
      </c>
      <c r="I198" s="21" t="s">
        <v>2836</v>
      </c>
      <c r="J198" s="21" t="s">
        <v>2830</v>
      </c>
      <c r="K198" s="20" t="s">
        <v>0</v>
      </c>
    </row>
    <row r="199" spans="1:11" x14ac:dyDescent="0.2">
      <c r="A199" s="30" t="s">
        <v>1569</v>
      </c>
      <c r="B199" s="21" t="s">
        <v>1888</v>
      </c>
      <c r="C199" s="21" t="s">
        <v>1335</v>
      </c>
      <c r="D199" s="21">
        <v>2017</v>
      </c>
      <c r="E199" s="21" t="s">
        <v>925</v>
      </c>
      <c r="F199" s="21" t="s">
        <v>144</v>
      </c>
      <c r="G199" s="21" t="str">
        <f>HYPERLINK("http://dx.doi.org/10.1016/j.jclepro.2016.05.154","http://dx.doi.org/10.1016/j.jclepro.2016.05.154")</f>
        <v>http://dx.doi.org/10.1016/j.jclepro.2016.05.154</v>
      </c>
      <c r="H199" s="21" t="s">
        <v>2826</v>
      </c>
      <c r="I199" s="21" t="s">
        <v>2835</v>
      </c>
      <c r="J199" s="21" t="s">
        <v>2218</v>
      </c>
      <c r="K199" s="20" t="s">
        <v>0</v>
      </c>
    </row>
    <row r="200" spans="1:11" x14ac:dyDescent="0.2">
      <c r="A200" s="30" t="s">
        <v>2821</v>
      </c>
      <c r="B200" s="21" t="s">
        <v>1130</v>
      </c>
      <c r="C200" s="21" t="s">
        <v>1081</v>
      </c>
      <c r="D200" s="21">
        <v>2024</v>
      </c>
      <c r="E200" s="21" t="s">
        <v>928</v>
      </c>
      <c r="F200" s="21" t="s">
        <v>1131</v>
      </c>
      <c r="G200" s="21" t="str">
        <f>HYPERLINK("http://dx.doi.org/10.1016/j.autcon.2024.105412","http://dx.doi.org/10.1016/j.autcon.2024.105412")</f>
        <v>http://dx.doi.org/10.1016/j.autcon.2024.105412</v>
      </c>
      <c r="H200" s="21" t="s">
        <v>2826</v>
      </c>
      <c r="I200" s="21" t="s">
        <v>2900</v>
      </c>
      <c r="J200" s="21" t="s">
        <v>2828</v>
      </c>
      <c r="K200" s="20" t="s">
        <v>0</v>
      </c>
    </row>
    <row r="201" spans="1:11" x14ac:dyDescent="0.2">
      <c r="A201" s="30" t="s">
        <v>2822</v>
      </c>
      <c r="B201" s="21" t="s">
        <v>340</v>
      </c>
      <c r="C201" s="21" t="s">
        <v>68</v>
      </c>
      <c r="D201" s="21">
        <v>2022</v>
      </c>
      <c r="E201" s="21" t="s">
        <v>953</v>
      </c>
      <c r="F201" s="21" t="s">
        <v>294</v>
      </c>
      <c r="G201" s="21" t="str">
        <f>HYPERLINK("http://dx.doi.org/10.1088/1748-9326/ac4fdb","http://dx.doi.org/10.1088/1748-9326/ac4fdb")</f>
        <v>http://dx.doi.org/10.1088/1748-9326/ac4fdb</v>
      </c>
      <c r="H201" s="21" t="s">
        <v>1230</v>
      </c>
      <c r="I201" s="21" t="s">
        <v>2262</v>
      </c>
      <c r="J201" s="21" t="s">
        <v>2262</v>
      </c>
      <c r="K201" s="20" t="s">
        <v>0</v>
      </c>
    </row>
    <row r="202" spans="1:11" x14ac:dyDescent="0.2">
      <c r="A202" s="30" t="s">
        <v>1569</v>
      </c>
      <c r="B202" s="21" t="s">
        <v>1966</v>
      </c>
      <c r="C202" s="21" t="s">
        <v>1336</v>
      </c>
      <c r="D202" s="21">
        <v>2015</v>
      </c>
      <c r="E202" s="21" t="s">
        <v>925</v>
      </c>
      <c r="F202" s="21" t="s">
        <v>144</v>
      </c>
      <c r="G202" s="21" t="str">
        <f>HYPERLINK("http://dx.doi.org/10.1016/j.jclepro.2013.11.046","http://dx.doi.org/10.1016/j.jclepro.2013.11.046")</f>
        <v>http://dx.doi.org/10.1016/j.jclepro.2013.11.046</v>
      </c>
      <c r="H202" s="21" t="s">
        <v>2826</v>
      </c>
      <c r="I202" s="21" t="s">
        <v>2835</v>
      </c>
      <c r="J202" s="21" t="s">
        <v>2218</v>
      </c>
      <c r="K202" s="20" t="s">
        <v>0</v>
      </c>
    </row>
    <row r="203" spans="1:11" x14ac:dyDescent="0.2">
      <c r="A203" s="30" t="s">
        <v>1569</v>
      </c>
      <c r="B203" s="21" t="s">
        <v>2089</v>
      </c>
      <c r="C203" s="21" t="s">
        <v>1663</v>
      </c>
      <c r="D203" s="21">
        <v>2010</v>
      </c>
      <c r="E203" s="21" t="s">
        <v>926</v>
      </c>
      <c r="F203" s="21" t="s">
        <v>209</v>
      </c>
      <c r="G203" s="21" t="str">
        <f>HYPERLINK("http://dx.doi.org/10.1007/s11367-010-0192-3","http://dx.doi.org/10.1007/s11367-010-0192-3")</f>
        <v>http://dx.doi.org/10.1007/s11367-010-0192-3</v>
      </c>
      <c r="H203" s="21" t="s">
        <v>2826</v>
      </c>
      <c r="I203" s="21" t="s">
        <v>2835</v>
      </c>
      <c r="J203" s="21" t="s">
        <v>2218</v>
      </c>
      <c r="K203" s="20" t="s">
        <v>0</v>
      </c>
    </row>
    <row r="204" spans="1:11" x14ac:dyDescent="0.2">
      <c r="A204" s="30" t="s">
        <v>1569</v>
      </c>
      <c r="B204" s="21" t="s">
        <v>2173</v>
      </c>
      <c r="C204" s="21" t="s">
        <v>1337</v>
      </c>
      <c r="D204" s="21">
        <v>2004</v>
      </c>
      <c r="E204" s="21" t="s">
        <v>2175</v>
      </c>
      <c r="F204" s="21" t="s">
        <v>2174</v>
      </c>
      <c r="G204" s="21" t="s">
        <v>2167</v>
      </c>
      <c r="H204" s="21" t="s">
        <v>2825</v>
      </c>
      <c r="I204" s="21" t="s">
        <v>2835</v>
      </c>
      <c r="J204" s="21" t="s">
        <v>2218</v>
      </c>
      <c r="K204" s="20" t="s">
        <v>0</v>
      </c>
    </row>
    <row r="205" spans="1:11" x14ac:dyDescent="0.2">
      <c r="A205" s="30" t="s">
        <v>2821</v>
      </c>
      <c r="B205" s="21" t="s">
        <v>332</v>
      </c>
      <c r="C205" s="21" t="s">
        <v>333</v>
      </c>
      <c r="D205" s="21">
        <v>2022</v>
      </c>
      <c r="E205" s="21" t="s">
        <v>931</v>
      </c>
      <c r="F205" s="21" t="s">
        <v>329</v>
      </c>
      <c r="G205" s="21" t="str">
        <f>HYPERLINK("http://dx.doi.org/10.1016/j.wasman.2022.04.006","http://dx.doi.org/10.1016/j.wasman.2022.04.006")</f>
        <v>http://dx.doi.org/10.1016/j.wasman.2022.04.006</v>
      </c>
      <c r="H205" s="21" t="s">
        <v>1230</v>
      </c>
      <c r="I205" s="21" t="s">
        <v>2262</v>
      </c>
      <c r="J205" s="21" t="s">
        <v>2262</v>
      </c>
      <c r="K205" s="20" t="s">
        <v>0</v>
      </c>
    </row>
    <row r="206" spans="1:11" x14ac:dyDescent="0.2">
      <c r="A206" s="30" t="s">
        <v>1569</v>
      </c>
      <c r="B206" s="21" t="s">
        <v>1831</v>
      </c>
      <c r="C206" s="21" t="s">
        <v>1338</v>
      </c>
      <c r="D206" s="21">
        <v>2017</v>
      </c>
      <c r="E206" s="21" t="s">
        <v>995</v>
      </c>
      <c r="F206" s="21" t="s">
        <v>1832</v>
      </c>
      <c r="G206" s="21" t="str">
        <f>HYPERLINK("http://dx.doi.org/10.1016/j.ecolmodel.2017.07.032","http://dx.doi.org/10.1016/j.ecolmodel.2017.07.032")</f>
        <v>http://dx.doi.org/10.1016/j.ecolmodel.2017.07.032</v>
      </c>
      <c r="H206" s="21" t="s">
        <v>2826</v>
      </c>
      <c r="I206" s="21" t="s">
        <v>2835</v>
      </c>
      <c r="J206" s="21" t="s">
        <v>2214</v>
      </c>
      <c r="K206" s="20" t="s">
        <v>0</v>
      </c>
    </row>
    <row r="207" spans="1:11" x14ac:dyDescent="0.2">
      <c r="A207" s="30" t="s">
        <v>2821</v>
      </c>
      <c r="B207" s="21" t="s">
        <v>546</v>
      </c>
      <c r="C207" s="21" t="s">
        <v>547</v>
      </c>
      <c r="D207" s="21">
        <v>2023</v>
      </c>
      <c r="E207" s="21" t="s">
        <v>954</v>
      </c>
      <c r="F207" s="21" t="s">
        <v>548</v>
      </c>
      <c r="G207" s="21" t="str">
        <f>HYPERLINK("http://dx.doi.org/10.3389/fped.2023.1165743","http://dx.doi.org/10.3389/fped.2023.1165743")</f>
        <v>http://dx.doi.org/10.3389/fped.2023.1165743</v>
      </c>
      <c r="H207" s="21" t="s">
        <v>2826</v>
      </c>
      <c r="I207" s="21" t="s">
        <v>2836</v>
      </c>
      <c r="J207" s="21" t="s">
        <v>2830</v>
      </c>
      <c r="K207" s="20" t="s">
        <v>0</v>
      </c>
    </row>
    <row r="208" spans="1:11" x14ac:dyDescent="0.2">
      <c r="A208" s="30" t="s">
        <v>2821</v>
      </c>
      <c r="B208" s="21" t="s">
        <v>743</v>
      </c>
      <c r="C208" s="21" t="s">
        <v>744</v>
      </c>
      <c r="D208" s="21">
        <v>2024</v>
      </c>
      <c r="E208" s="21" t="s">
        <v>1038</v>
      </c>
      <c r="F208" s="21" t="s">
        <v>745</v>
      </c>
      <c r="G208" s="21" t="str">
        <f>HYPERLINK("http://dx.doi.org/10.1371/journal.pmed.1004340","http://dx.doi.org/10.1371/journal.pmed.1004340")</f>
        <v>http://dx.doi.org/10.1371/journal.pmed.1004340</v>
      </c>
      <c r="H208" s="21" t="s">
        <v>2826</v>
      </c>
      <c r="I208" s="21" t="s">
        <v>2836</v>
      </c>
      <c r="J208" s="21" t="s">
        <v>2830</v>
      </c>
      <c r="K208" s="20" t="s">
        <v>0</v>
      </c>
    </row>
    <row r="209" spans="1:11" x14ac:dyDescent="0.2">
      <c r="A209" s="30" t="s">
        <v>2821</v>
      </c>
      <c r="B209" s="21" t="s">
        <v>822</v>
      </c>
      <c r="C209" s="21" t="s">
        <v>823</v>
      </c>
      <c r="D209" s="21">
        <v>2020</v>
      </c>
      <c r="E209" s="21" t="s">
        <v>928</v>
      </c>
      <c r="F209" s="21" t="s">
        <v>824</v>
      </c>
      <c r="G209" s="21" t="str">
        <f>HYPERLINK("http://dx.doi.org/10.1016/j.sciaf.2020.e00638","http://dx.doi.org/10.1016/j.sciaf.2020.e00638")</f>
        <v>http://dx.doi.org/10.1016/j.sciaf.2020.e00638</v>
      </c>
      <c r="H209" s="21" t="s">
        <v>2826</v>
      </c>
      <c r="I209" s="21" t="s">
        <v>2832</v>
      </c>
      <c r="J209" s="21" t="s">
        <v>2213</v>
      </c>
      <c r="K209" s="20" t="s">
        <v>0</v>
      </c>
    </row>
    <row r="210" spans="1:11" x14ac:dyDescent="0.2">
      <c r="A210" s="30" t="s">
        <v>2821</v>
      </c>
      <c r="B210" s="21" t="s">
        <v>125</v>
      </c>
      <c r="C210" s="21" t="s">
        <v>126</v>
      </c>
      <c r="D210" s="21">
        <v>2024</v>
      </c>
      <c r="E210" s="21" t="s">
        <v>923</v>
      </c>
      <c r="F210" s="21" t="s">
        <v>127</v>
      </c>
      <c r="G210" s="21" t="str">
        <f>HYPERLINK("http://dx.doi.org/10.1111/jiec.13432","http://dx.doi.org/10.1111/jiec.13432")</f>
        <v>http://dx.doi.org/10.1111/jiec.13432</v>
      </c>
      <c r="H210" s="21" t="s">
        <v>1230</v>
      </c>
      <c r="I210" s="21" t="s">
        <v>2262</v>
      </c>
      <c r="J210" s="21" t="s">
        <v>2262</v>
      </c>
      <c r="K210" s="20" t="s">
        <v>0</v>
      </c>
    </row>
    <row r="211" spans="1:11" x14ac:dyDescent="0.2">
      <c r="A211" s="30" t="s">
        <v>2821</v>
      </c>
      <c r="B211" s="21" t="s">
        <v>275</v>
      </c>
      <c r="C211" s="21" t="s">
        <v>276</v>
      </c>
      <c r="D211" s="21">
        <v>2021</v>
      </c>
      <c r="E211" s="21" t="s">
        <v>41</v>
      </c>
      <c r="F211" s="21" t="s">
        <v>90</v>
      </c>
      <c r="G211" s="21" t="str">
        <f>HYPERLINK("http://dx.doi.org/10.3390/en14133820","http://dx.doi.org/10.3390/en14133820")</f>
        <v>http://dx.doi.org/10.3390/en14133820</v>
      </c>
      <c r="H211" s="21" t="s">
        <v>2826</v>
      </c>
      <c r="I211" s="21" t="s">
        <v>2835</v>
      </c>
      <c r="J211" s="21" t="s">
        <v>2219</v>
      </c>
      <c r="K211" s="20" t="s">
        <v>0</v>
      </c>
    </row>
    <row r="212" spans="1:11" x14ac:dyDescent="0.2">
      <c r="A212" s="30" t="s">
        <v>1569</v>
      </c>
      <c r="B212" s="21" t="s">
        <v>2061</v>
      </c>
      <c r="C212" s="21" t="s">
        <v>1656</v>
      </c>
      <c r="D212" s="21">
        <v>2012</v>
      </c>
      <c r="E212" s="21" t="s">
        <v>924</v>
      </c>
      <c r="F212" s="21" t="s">
        <v>357</v>
      </c>
      <c r="G212" s="21" t="str">
        <f>HYPERLINK("http://dx.doi.org/10.1021/es204301z","http://dx.doi.org/10.1021/es204301z")</f>
        <v>http://dx.doi.org/10.1021/es204301z</v>
      </c>
      <c r="H212" s="21" t="s">
        <v>2825</v>
      </c>
      <c r="I212" s="21" t="s">
        <v>2833</v>
      </c>
      <c r="J212" s="21" t="s">
        <v>2827</v>
      </c>
      <c r="K212" s="20" t="s">
        <v>0</v>
      </c>
    </row>
    <row r="213" spans="1:11" x14ac:dyDescent="0.2">
      <c r="A213" s="30" t="s">
        <v>1569</v>
      </c>
      <c r="B213" s="21" t="s">
        <v>1228</v>
      </c>
      <c r="C213" s="21" t="s">
        <v>87</v>
      </c>
      <c r="D213" s="21">
        <v>2010</v>
      </c>
      <c r="E213" s="21" t="s">
        <v>931</v>
      </c>
      <c r="F213" s="21" t="s">
        <v>43</v>
      </c>
      <c r="G213" s="21" t="str">
        <f>HYPERLINK("http://dx.doi.org/10.1016/j.energy.2010.09.037","http://dx.doi.org/10.1016/j.energy.2010.09.037")</f>
        <v>http://dx.doi.org/10.1016/j.energy.2010.09.037</v>
      </c>
      <c r="H213" s="21" t="s">
        <v>2825</v>
      </c>
      <c r="I213" s="21" t="s">
        <v>2209</v>
      </c>
      <c r="J213" s="21" t="s">
        <v>2874</v>
      </c>
      <c r="K213" s="20" t="s">
        <v>0</v>
      </c>
    </row>
    <row r="214" spans="1:11" x14ac:dyDescent="0.2">
      <c r="A214" s="30" t="s">
        <v>1569</v>
      </c>
      <c r="B214" s="21" t="s">
        <v>1809</v>
      </c>
      <c r="C214" s="21" t="s">
        <v>1339</v>
      </c>
      <c r="D214" s="21">
        <v>2018</v>
      </c>
      <c r="E214" s="21" t="s">
        <v>995</v>
      </c>
      <c r="F214" s="21" t="s">
        <v>1810</v>
      </c>
      <c r="G214" s="21" t="str">
        <f>HYPERLINK("http://dx.doi.org/10.1016/j.cirp.2018.04.053","http://dx.doi.org/10.1016/j.cirp.2018.04.053")</f>
        <v>http://dx.doi.org/10.1016/j.cirp.2018.04.053</v>
      </c>
      <c r="H214" s="21" t="s">
        <v>2826</v>
      </c>
      <c r="I214" s="21" t="s">
        <v>2835</v>
      </c>
      <c r="J214" s="21" t="s">
        <v>2218</v>
      </c>
      <c r="K214" s="20" t="s">
        <v>0</v>
      </c>
    </row>
    <row r="215" spans="1:11" x14ac:dyDescent="0.2">
      <c r="A215" s="30" t="s">
        <v>1569</v>
      </c>
      <c r="B215" s="21" t="s">
        <v>2082</v>
      </c>
      <c r="C215" s="21" t="s">
        <v>1661</v>
      </c>
      <c r="D215" s="21">
        <v>2011</v>
      </c>
      <c r="E215" s="21" t="s">
        <v>924</v>
      </c>
      <c r="F215" s="21" t="s">
        <v>894</v>
      </c>
      <c r="G215" s="21" t="str">
        <f>HYPERLINK("http://dx.doi.org/10.1021/ef200124d","http://dx.doi.org/10.1021/ef200124d")</f>
        <v>http://dx.doi.org/10.1021/ef200124d</v>
      </c>
      <c r="H215" s="21" t="s">
        <v>2826</v>
      </c>
      <c r="I215" s="21" t="s">
        <v>2835</v>
      </c>
      <c r="J215" s="21" t="s">
        <v>2218</v>
      </c>
      <c r="K215" s="20" t="s">
        <v>0</v>
      </c>
    </row>
    <row r="216" spans="1:11" x14ac:dyDescent="0.2">
      <c r="A216" s="30" t="s">
        <v>2821</v>
      </c>
      <c r="B216" s="21" t="s">
        <v>901</v>
      </c>
      <c r="C216" s="21" t="s">
        <v>902</v>
      </c>
      <c r="D216" s="21">
        <v>2014</v>
      </c>
      <c r="E216" s="21" t="s">
        <v>931</v>
      </c>
      <c r="F216" s="21" t="s">
        <v>228</v>
      </c>
      <c r="G216" s="21" t="str">
        <f>HYPERLINK("http://dx.doi.org/10.1016/j.biombioe.2013.10.006","http://dx.doi.org/10.1016/j.biombioe.2013.10.006")</f>
        <v>http://dx.doi.org/10.1016/j.biombioe.2013.10.006</v>
      </c>
      <c r="H216" s="21" t="s">
        <v>2826</v>
      </c>
      <c r="I216" s="21" t="s">
        <v>2835</v>
      </c>
      <c r="J216" s="21" t="s">
        <v>2218</v>
      </c>
      <c r="K216" s="20" t="s">
        <v>0</v>
      </c>
    </row>
    <row r="217" spans="1:11" x14ac:dyDescent="0.2">
      <c r="A217" s="30" t="s">
        <v>1569</v>
      </c>
      <c r="B217" s="21" t="s">
        <v>2030</v>
      </c>
      <c r="C217" s="21" t="s">
        <v>1340</v>
      </c>
      <c r="D217" s="21">
        <v>2014</v>
      </c>
      <c r="E217" s="21" t="s">
        <v>1944</v>
      </c>
      <c r="F217" s="21" t="s">
        <v>294</v>
      </c>
      <c r="G217" s="21" t="str">
        <f>HYPERLINK("http://dx.doi.org/10.1088/1748-9326/9/2/024007","http://dx.doi.org/10.1088/1748-9326/9/2/024007")</f>
        <v>http://dx.doi.org/10.1088/1748-9326/9/2/024007</v>
      </c>
      <c r="H217" s="21" t="s">
        <v>2826</v>
      </c>
      <c r="I217" s="21" t="s">
        <v>2832</v>
      </c>
      <c r="J217" s="21" t="s">
        <v>2847</v>
      </c>
      <c r="K217" s="20" t="s">
        <v>0</v>
      </c>
    </row>
    <row r="218" spans="1:11" x14ac:dyDescent="0.2">
      <c r="A218" s="30" t="s">
        <v>2821</v>
      </c>
      <c r="B218" s="21" t="s">
        <v>784</v>
      </c>
      <c r="C218" s="21" t="s">
        <v>785</v>
      </c>
      <c r="D218" s="21">
        <v>2019</v>
      </c>
      <c r="E218" s="21" t="s">
        <v>931</v>
      </c>
      <c r="F218" s="21" t="s">
        <v>786</v>
      </c>
      <c r="G218" s="21" t="str">
        <f>HYPERLINK("http://dx.doi.org/10.1016/j.chiabu.2018.11.002","http://dx.doi.org/10.1016/j.chiabu.2018.11.002")</f>
        <v>http://dx.doi.org/10.1016/j.chiabu.2018.11.002</v>
      </c>
      <c r="H218" s="21" t="s">
        <v>2826</v>
      </c>
      <c r="I218" s="21" t="s">
        <v>2836</v>
      </c>
      <c r="J218" s="21" t="s">
        <v>2830</v>
      </c>
      <c r="K218" s="20" t="s">
        <v>0</v>
      </c>
    </row>
    <row r="219" spans="1:11" x14ac:dyDescent="0.2">
      <c r="A219" s="30" t="s">
        <v>2821</v>
      </c>
      <c r="B219" s="21" t="s">
        <v>1116</v>
      </c>
      <c r="C219" s="21" t="s">
        <v>1071</v>
      </c>
      <c r="D219" s="21">
        <v>2024</v>
      </c>
      <c r="E219" s="21" t="s">
        <v>1034</v>
      </c>
      <c r="F219" s="21" t="s">
        <v>1117</v>
      </c>
      <c r="G219" s="21" t="str">
        <f>HYPERLINK("http://dx.doi.org/10.1080/17597269.2023.2264037","http://dx.doi.org/10.1080/17597269.2023.2264037")</f>
        <v>http://dx.doi.org/10.1080/17597269.2023.2264037</v>
      </c>
      <c r="H219" s="21" t="s">
        <v>2826</v>
      </c>
      <c r="I219" s="21" t="s">
        <v>2900</v>
      </c>
      <c r="J219" s="21" t="s">
        <v>2828</v>
      </c>
      <c r="K219" s="20" t="s">
        <v>0</v>
      </c>
    </row>
    <row r="220" spans="1:11" x14ac:dyDescent="0.2">
      <c r="A220" s="30" t="s">
        <v>2821</v>
      </c>
      <c r="B220" s="21" t="s">
        <v>233</v>
      </c>
      <c r="C220" s="21" t="s">
        <v>234</v>
      </c>
      <c r="D220" s="21">
        <v>2024</v>
      </c>
      <c r="E220" s="21" t="s">
        <v>928</v>
      </c>
      <c r="F220" s="21" t="s">
        <v>213</v>
      </c>
      <c r="G220" s="21" t="str">
        <f>HYPERLINK("http://dx.doi.org/10.1016/j.resconrec.2023.107381","http://dx.doi.org/10.1016/j.resconrec.2023.107381")</f>
        <v>http://dx.doi.org/10.1016/j.resconrec.2023.107381</v>
      </c>
      <c r="H220" s="21" t="s">
        <v>2826</v>
      </c>
      <c r="I220" s="21" t="s">
        <v>2900</v>
      </c>
      <c r="J220" s="21" t="s">
        <v>2828</v>
      </c>
      <c r="K220" s="20" t="s">
        <v>0</v>
      </c>
    </row>
    <row r="221" spans="1:11" x14ac:dyDescent="0.2">
      <c r="A221" s="30" t="s">
        <v>1569</v>
      </c>
      <c r="B221" s="21" t="s">
        <v>2046</v>
      </c>
      <c r="C221" s="21" t="s">
        <v>1654</v>
      </c>
      <c r="D221" s="21">
        <v>2013</v>
      </c>
      <c r="E221" s="21" t="s">
        <v>1006</v>
      </c>
      <c r="F221" s="21" t="s">
        <v>1176</v>
      </c>
      <c r="G221" s="21" t="str">
        <f>HYPERLINK("http://dx.doi.org/10.1177/0734242X13482175","http://dx.doi.org/10.1177/0734242X13482175")</f>
        <v>http://dx.doi.org/10.1177/0734242X13482175</v>
      </c>
      <c r="H221" s="21" t="s">
        <v>2826</v>
      </c>
      <c r="I221" s="21" t="s">
        <v>2832</v>
      </c>
      <c r="J221" s="21" t="s">
        <v>2847</v>
      </c>
      <c r="K221" s="20" t="s">
        <v>0</v>
      </c>
    </row>
    <row r="222" spans="1:11" x14ac:dyDescent="0.2">
      <c r="A222" s="30" t="s">
        <v>1569</v>
      </c>
      <c r="B222" s="21" t="s">
        <v>1961</v>
      </c>
      <c r="C222" s="21" t="s">
        <v>1644</v>
      </c>
      <c r="D222" s="21">
        <v>2015</v>
      </c>
      <c r="E222" s="21" t="s">
        <v>925</v>
      </c>
      <c r="F222" s="21" t="s">
        <v>1846</v>
      </c>
      <c r="G222" s="21" t="str">
        <f>HYPERLINK("http://dx.doi.org/10.1016/j.agsy.2015.08.008","http://dx.doi.org/10.1016/j.agsy.2015.08.008")</f>
        <v>http://dx.doi.org/10.1016/j.agsy.2015.08.008</v>
      </c>
      <c r="H222" s="21" t="s">
        <v>2826</v>
      </c>
      <c r="I222" s="21" t="s">
        <v>2835</v>
      </c>
      <c r="J222" s="21" t="s">
        <v>2218</v>
      </c>
      <c r="K222" s="20" t="s">
        <v>0</v>
      </c>
    </row>
    <row r="223" spans="1:11" x14ac:dyDescent="0.2">
      <c r="A223" s="30" t="s">
        <v>1569</v>
      </c>
      <c r="B223" s="21" t="s">
        <v>1989</v>
      </c>
      <c r="C223" s="21" t="s">
        <v>1341</v>
      </c>
      <c r="D223" s="21">
        <v>2015</v>
      </c>
      <c r="E223" s="21" t="s">
        <v>925</v>
      </c>
      <c r="F223" s="21" t="s">
        <v>144</v>
      </c>
      <c r="G223" s="21" t="str">
        <f>HYPERLINK("http://dx.doi.org/10.1016/j.jclepro.2014.12.005","http://dx.doi.org/10.1016/j.jclepro.2014.12.005")</f>
        <v>http://dx.doi.org/10.1016/j.jclepro.2014.12.005</v>
      </c>
      <c r="H223" s="21" t="s">
        <v>2826</v>
      </c>
      <c r="I223" s="21" t="s">
        <v>2835</v>
      </c>
      <c r="J223" s="21" t="s">
        <v>2218</v>
      </c>
      <c r="K223" s="20" t="s">
        <v>0</v>
      </c>
    </row>
    <row r="224" spans="1:11" x14ac:dyDescent="0.2">
      <c r="A224" s="30" t="s">
        <v>2821</v>
      </c>
      <c r="B224" s="21" t="s">
        <v>1187</v>
      </c>
      <c r="C224" s="21" t="s">
        <v>1098</v>
      </c>
      <c r="D224" s="21">
        <v>2020</v>
      </c>
      <c r="E224" s="21" t="s">
        <v>1188</v>
      </c>
      <c r="F224" s="21" t="s">
        <v>1189</v>
      </c>
      <c r="G224" s="21" t="str">
        <f>HYPERLINK("http://dx.doi.org/10.1515/gps-2020-0031","http://dx.doi.org/10.1515/gps-2020-0031")</f>
        <v>http://dx.doi.org/10.1515/gps-2020-0031</v>
      </c>
      <c r="H224" s="21" t="s">
        <v>2826</v>
      </c>
      <c r="I224" s="21" t="s">
        <v>2900</v>
      </c>
      <c r="J224" s="21" t="s">
        <v>2828</v>
      </c>
      <c r="K224" s="20" t="s">
        <v>0</v>
      </c>
    </row>
    <row r="225" spans="1:11" x14ac:dyDescent="0.2">
      <c r="A225" s="30" t="s">
        <v>2821</v>
      </c>
      <c r="B225" s="21" t="s">
        <v>598</v>
      </c>
      <c r="C225" s="21" t="s">
        <v>599</v>
      </c>
      <c r="D225" s="21">
        <v>2024</v>
      </c>
      <c r="E225" s="21" t="s">
        <v>1006</v>
      </c>
      <c r="F225" s="21" t="s">
        <v>600</v>
      </c>
      <c r="G225" s="21" t="str">
        <f>HYPERLINK("http://dx.doi.org/10.1177/07316844241243128","http://dx.doi.org/10.1177/07316844241243128")</f>
        <v>http://dx.doi.org/10.1177/07316844241243128</v>
      </c>
      <c r="H225" s="21" t="s">
        <v>2826</v>
      </c>
      <c r="I225" s="21" t="s">
        <v>2900</v>
      </c>
      <c r="J225" s="21" t="s">
        <v>2828</v>
      </c>
      <c r="K225" s="20" t="s">
        <v>0</v>
      </c>
    </row>
    <row r="226" spans="1:11" x14ac:dyDescent="0.2">
      <c r="A226" s="30" t="s">
        <v>2821</v>
      </c>
      <c r="B226" s="21" t="s">
        <v>1157</v>
      </c>
      <c r="C226" s="21" t="s">
        <v>1093</v>
      </c>
      <c r="D226" s="21">
        <v>2020</v>
      </c>
      <c r="E226" s="21" t="s">
        <v>924</v>
      </c>
      <c r="F226" s="21" t="s">
        <v>1158</v>
      </c>
      <c r="G226" s="21" t="str">
        <f>HYPERLINK("http://dx.doi.org/10.1021/acs.chemrev.9b00538","http://dx.doi.org/10.1021/acs.chemrev.9b00538")</f>
        <v>http://dx.doi.org/10.1021/acs.chemrev.9b00538</v>
      </c>
      <c r="H226" s="21" t="s">
        <v>2826</v>
      </c>
      <c r="I226" s="21" t="s">
        <v>2836</v>
      </c>
      <c r="J226" s="21" t="s">
        <v>2830</v>
      </c>
      <c r="K226" s="20" t="s">
        <v>0</v>
      </c>
    </row>
    <row r="227" spans="1:11" x14ac:dyDescent="0.2">
      <c r="A227" s="30" t="s">
        <v>1569</v>
      </c>
      <c r="B227" s="21" t="s">
        <v>1959</v>
      </c>
      <c r="C227" s="21" t="s">
        <v>1342</v>
      </c>
      <c r="D227" s="21">
        <v>2015</v>
      </c>
      <c r="E227" s="21" t="s">
        <v>925</v>
      </c>
      <c r="F227" s="21" t="s">
        <v>167</v>
      </c>
      <c r="G227" s="21" t="str">
        <f>HYPERLINK("http://dx.doi.org/10.1016/j.apenergy.2015.08.066","http://dx.doi.org/10.1016/j.apenergy.2015.08.066")</f>
        <v>http://dx.doi.org/10.1016/j.apenergy.2015.08.066</v>
      </c>
      <c r="H227" s="21" t="s">
        <v>2825</v>
      </c>
      <c r="I227" s="21" t="s">
        <v>2832</v>
      </c>
      <c r="J227" s="21" t="s">
        <v>2241</v>
      </c>
      <c r="K227" s="20" t="s">
        <v>0</v>
      </c>
    </row>
    <row r="228" spans="1:11" x14ac:dyDescent="0.2">
      <c r="A228" s="30" t="s">
        <v>1569</v>
      </c>
      <c r="B228" s="21" t="s">
        <v>1968</v>
      </c>
      <c r="C228" s="21" t="s">
        <v>1343</v>
      </c>
      <c r="D228" s="21">
        <v>2015</v>
      </c>
      <c r="E228" s="21" t="s">
        <v>926</v>
      </c>
      <c r="F228" s="21" t="s">
        <v>209</v>
      </c>
      <c r="G228" s="21" t="str">
        <f>HYPERLINK("http://dx.doi.org/10.1007/s11367-015-0927-2","http://dx.doi.org/10.1007/s11367-015-0927-2")</f>
        <v>http://dx.doi.org/10.1007/s11367-015-0927-2</v>
      </c>
      <c r="H228" s="21" t="s">
        <v>2826</v>
      </c>
      <c r="I228" s="21" t="s">
        <v>2835</v>
      </c>
      <c r="J228" s="21" t="s">
        <v>2218</v>
      </c>
      <c r="K228" s="20" t="s">
        <v>0</v>
      </c>
    </row>
    <row r="229" spans="1:11" x14ac:dyDescent="0.2">
      <c r="A229" s="30" t="s">
        <v>1569</v>
      </c>
      <c r="B229" s="21" t="s">
        <v>2033</v>
      </c>
      <c r="C229" s="21" t="s">
        <v>1344</v>
      </c>
      <c r="D229" s="21">
        <v>2014</v>
      </c>
      <c r="E229" s="21" t="s">
        <v>931</v>
      </c>
      <c r="F229" s="21" t="s">
        <v>314</v>
      </c>
      <c r="G229" s="21" t="str">
        <f>HYPERLINK("http://dx.doi.org/10.1016/j.renene.2012.04.024","http://dx.doi.org/10.1016/j.renene.2012.04.024")</f>
        <v>http://dx.doi.org/10.1016/j.renene.2012.04.024</v>
      </c>
      <c r="H229" s="21" t="s">
        <v>2826</v>
      </c>
      <c r="I229" s="21" t="s">
        <v>2835</v>
      </c>
      <c r="J229" s="21" t="s">
        <v>2214</v>
      </c>
      <c r="K229" s="20" t="s">
        <v>0</v>
      </c>
    </row>
    <row r="230" spans="1:11" x14ac:dyDescent="0.2">
      <c r="A230" s="30" t="s">
        <v>1569</v>
      </c>
      <c r="B230" s="21" t="s">
        <v>1229</v>
      </c>
      <c r="C230" s="21" t="s">
        <v>86</v>
      </c>
      <c r="D230" s="21">
        <v>2005</v>
      </c>
      <c r="E230" s="21" t="s">
        <v>931</v>
      </c>
      <c r="F230" s="21" t="s">
        <v>181</v>
      </c>
      <c r="G230" s="21" t="str">
        <f>HYPERLINK("http://dx.doi.org/10.1016/j.buildenv.2003.05.001","http://dx.doi.org/10.1016/j.buildenv.2003.05.001")</f>
        <v>http://dx.doi.org/10.1016/j.buildenv.2003.05.001</v>
      </c>
      <c r="H230" s="21" t="s">
        <v>2825</v>
      </c>
      <c r="I230" s="21" t="s">
        <v>2209</v>
      </c>
      <c r="J230" s="21" t="s">
        <v>2868</v>
      </c>
      <c r="K230" s="20" t="s">
        <v>0</v>
      </c>
    </row>
    <row r="231" spans="1:11" x14ac:dyDescent="0.2">
      <c r="A231" s="30" t="s">
        <v>2821</v>
      </c>
      <c r="B231" s="21" t="s">
        <v>1132</v>
      </c>
      <c r="C231" s="21" t="s">
        <v>1078</v>
      </c>
      <c r="D231" s="21">
        <v>2015</v>
      </c>
      <c r="E231" s="21" t="s">
        <v>931</v>
      </c>
      <c r="F231" s="21" t="s">
        <v>306</v>
      </c>
      <c r="G231" s="21" t="str">
        <f>HYPERLINK("http://dx.doi.org/10.1016/j.rser.2014.10.040","http://dx.doi.org/10.1016/j.rser.2014.10.040")</f>
        <v>http://dx.doi.org/10.1016/j.rser.2014.10.040</v>
      </c>
      <c r="H231" s="21" t="s">
        <v>2826</v>
      </c>
      <c r="I231" s="21" t="s">
        <v>2832</v>
      </c>
      <c r="J231" s="21" t="s">
        <v>2829</v>
      </c>
      <c r="K231" s="20" t="s">
        <v>0</v>
      </c>
    </row>
    <row r="232" spans="1:11" x14ac:dyDescent="0.2">
      <c r="A232" s="30" t="s">
        <v>2821</v>
      </c>
      <c r="B232" s="21" t="s">
        <v>979</v>
      </c>
      <c r="C232" s="21" t="s">
        <v>980</v>
      </c>
      <c r="D232" s="21">
        <v>1997</v>
      </c>
      <c r="E232" s="21" t="s">
        <v>981</v>
      </c>
      <c r="F232" s="21" t="s">
        <v>982</v>
      </c>
      <c r="G232" s="21" t="s">
        <v>2262</v>
      </c>
      <c r="H232" s="21" t="s">
        <v>2826</v>
      </c>
      <c r="I232" s="21" t="s">
        <v>2836</v>
      </c>
      <c r="J232" s="21" t="s">
        <v>2830</v>
      </c>
      <c r="K232" s="20" t="s">
        <v>0</v>
      </c>
    </row>
    <row r="233" spans="1:11" x14ac:dyDescent="0.2">
      <c r="A233" s="30" t="s">
        <v>2821</v>
      </c>
      <c r="B233" s="21" t="s">
        <v>816</v>
      </c>
      <c r="C233" s="21" t="s">
        <v>817</v>
      </c>
      <c r="D233" s="21">
        <v>2020</v>
      </c>
      <c r="E233" s="21" t="s">
        <v>948</v>
      </c>
      <c r="F233" s="21" t="s">
        <v>818</v>
      </c>
      <c r="G233" s="21" t="str">
        <f>HYPERLINK("http://dx.doi.org/10.1108/JEFAS-04-2019-0057","http://dx.doi.org/10.1108/JEFAS-04-2019-0057")</f>
        <v>http://dx.doi.org/10.1108/JEFAS-04-2019-0057</v>
      </c>
      <c r="H233" s="21" t="s">
        <v>2826</v>
      </c>
      <c r="I233" s="21" t="s">
        <v>2836</v>
      </c>
      <c r="J233" s="21" t="s">
        <v>2830</v>
      </c>
      <c r="K233" s="20" t="s">
        <v>0</v>
      </c>
    </row>
    <row r="234" spans="1:11" x14ac:dyDescent="0.2">
      <c r="A234" s="30" t="s">
        <v>1569</v>
      </c>
      <c r="B234" s="21" t="s">
        <v>1991</v>
      </c>
      <c r="C234" s="21" t="s">
        <v>1345</v>
      </c>
      <c r="D234" s="21">
        <v>2015</v>
      </c>
      <c r="E234" s="21" t="s">
        <v>928</v>
      </c>
      <c r="F234" s="21" t="s">
        <v>1992</v>
      </c>
      <c r="G234" s="21" t="str">
        <f>HYPERLINK("http://dx.doi.org/10.1016/j.psep.2014.03.008","http://dx.doi.org/10.1016/j.psep.2014.03.008")</f>
        <v>http://dx.doi.org/10.1016/j.psep.2014.03.008</v>
      </c>
      <c r="H234" s="21" t="s">
        <v>2826</v>
      </c>
      <c r="I234" s="21" t="s">
        <v>2835</v>
      </c>
      <c r="J234" s="21" t="s">
        <v>2215</v>
      </c>
      <c r="K234" s="20" t="s">
        <v>0</v>
      </c>
    </row>
    <row r="235" spans="1:11" x14ac:dyDescent="0.2">
      <c r="A235" s="30" t="s">
        <v>2821</v>
      </c>
      <c r="B235" s="21" t="s">
        <v>452</v>
      </c>
      <c r="C235" s="21" t="s">
        <v>453</v>
      </c>
      <c r="D235" s="21">
        <v>1993</v>
      </c>
      <c r="E235" s="21" t="s">
        <v>965</v>
      </c>
      <c r="F235" s="21" t="s">
        <v>454</v>
      </c>
      <c r="G235" s="21" t="str">
        <f>HYPERLINK("http://dx.doi.org/10.1177/000169939303600308","http://dx.doi.org/10.1177/000169939303600308")</f>
        <v>http://dx.doi.org/10.1177/000169939303600308</v>
      </c>
      <c r="H235" s="21" t="s">
        <v>2826</v>
      </c>
      <c r="I235" s="21" t="s">
        <v>2836</v>
      </c>
      <c r="J235" s="21" t="s">
        <v>2830</v>
      </c>
      <c r="K235" s="20" t="s">
        <v>0</v>
      </c>
    </row>
    <row r="236" spans="1:11" x14ac:dyDescent="0.2">
      <c r="A236" s="30" t="s">
        <v>2821</v>
      </c>
      <c r="B236" s="21" t="s">
        <v>295</v>
      </c>
      <c r="C236" s="21" t="s">
        <v>296</v>
      </c>
      <c r="D236" s="21">
        <v>2022</v>
      </c>
      <c r="E236" s="21" t="s">
        <v>954</v>
      </c>
      <c r="F236" s="21" t="s">
        <v>297</v>
      </c>
      <c r="G236" s="21" t="str">
        <f>HYPERLINK("http://dx.doi.org/10.3389/fclim.2022.820261","http://dx.doi.org/10.3389/fclim.2022.820261")</f>
        <v>http://dx.doi.org/10.3389/fclim.2022.820261</v>
      </c>
      <c r="H236" s="21" t="s">
        <v>2826</v>
      </c>
      <c r="I236" s="21" t="s">
        <v>2835</v>
      </c>
      <c r="J236" s="21" t="s">
        <v>2218</v>
      </c>
      <c r="K236" s="20" t="s">
        <v>0</v>
      </c>
    </row>
    <row r="237" spans="1:11" x14ac:dyDescent="0.2">
      <c r="A237" s="30" t="s">
        <v>2821</v>
      </c>
      <c r="B237" s="21" t="s">
        <v>341</v>
      </c>
      <c r="C237" s="21" t="s">
        <v>342</v>
      </c>
      <c r="D237" s="21">
        <v>2000</v>
      </c>
      <c r="E237" s="21" t="s">
        <v>961</v>
      </c>
      <c r="F237" s="21" t="s">
        <v>124</v>
      </c>
      <c r="G237" s="21" t="s">
        <v>2262</v>
      </c>
      <c r="H237" s="21" t="s">
        <v>2826</v>
      </c>
      <c r="I237" s="21" t="s">
        <v>2833</v>
      </c>
      <c r="J237" s="21" t="s">
        <v>2827</v>
      </c>
      <c r="K237" s="20" t="s">
        <v>0</v>
      </c>
    </row>
    <row r="238" spans="1:11" x14ac:dyDescent="0.2">
      <c r="A238" s="30" t="s">
        <v>1569</v>
      </c>
      <c r="B238" s="21" t="s">
        <v>2154</v>
      </c>
      <c r="C238" s="21" t="s">
        <v>1346</v>
      </c>
      <c r="D238" s="21">
        <v>2018</v>
      </c>
      <c r="E238" s="21" t="s">
        <v>2157</v>
      </c>
      <c r="F238" s="21" t="s">
        <v>2155</v>
      </c>
      <c r="G238" s="21" t="s">
        <v>2145</v>
      </c>
      <c r="H238" s="21" t="s">
        <v>2826</v>
      </c>
      <c r="I238" s="21" t="s">
        <v>2832</v>
      </c>
      <c r="J238" s="21" t="s">
        <v>2847</v>
      </c>
      <c r="K238" s="20" t="s">
        <v>0</v>
      </c>
    </row>
    <row r="239" spans="1:11" x14ac:dyDescent="0.2">
      <c r="A239" s="30" t="s">
        <v>2821</v>
      </c>
      <c r="B239" s="21" t="s">
        <v>2195</v>
      </c>
      <c r="C239" s="21" t="s">
        <v>2194</v>
      </c>
      <c r="D239" s="21">
        <v>2025</v>
      </c>
      <c r="E239" s="21" t="s">
        <v>964</v>
      </c>
      <c r="F239" s="21" t="s">
        <v>441</v>
      </c>
      <c r="G239" s="21" t="s">
        <v>2203</v>
      </c>
      <c r="H239" s="21" t="s">
        <v>2826</v>
      </c>
      <c r="I239" s="21" t="s">
        <v>2900</v>
      </c>
      <c r="J239" s="21" t="s">
        <v>2828</v>
      </c>
      <c r="K239" s="20" t="s">
        <v>0</v>
      </c>
    </row>
    <row r="240" spans="1:11" x14ac:dyDescent="0.2">
      <c r="A240" s="30" t="s">
        <v>1569</v>
      </c>
      <c r="B240" s="21" t="s">
        <v>2180</v>
      </c>
      <c r="C240" s="21" t="s">
        <v>1672</v>
      </c>
      <c r="D240" s="21">
        <v>2017</v>
      </c>
      <c r="E240" s="21" t="s">
        <v>956</v>
      </c>
      <c r="F240" s="21" t="s">
        <v>2181</v>
      </c>
      <c r="G240" s="21" t="s">
        <v>2171</v>
      </c>
      <c r="H240" s="21" t="s">
        <v>2826</v>
      </c>
      <c r="I240" s="21" t="s">
        <v>2835</v>
      </c>
      <c r="J240" s="21" t="s">
        <v>2218</v>
      </c>
      <c r="K240" s="20" t="s">
        <v>0</v>
      </c>
    </row>
    <row r="241" spans="1:11" x14ac:dyDescent="0.2">
      <c r="A241" s="30" t="s">
        <v>1569</v>
      </c>
      <c r="B241" s="21" t="s">
        <v>1816</v>
      </c>
      <c r="C241" s="21" t="s">
        <v>91</v>
      </c>
      <c r="D241" s="21">
        <v>2017</v>
      </c>
      <c r="E241" s="21" t="s">
        <v>929</v>
      </c>
      <c r="F241" s="21" t="s">
        <v>1201</v>
      </c>
      <c r="G241" s="21" t="str">
        <f>HYPERLINK("http://dx.doi.org/10.1007/s40309-017-0121-9","http://dx.doi.org/10.1007/s40309-017-0121-9")</f>
        <v>http://dx.doi.org/10.1007/s40309-017-0121-9</v>
      </c>
      <c r="H241" s="21" t="s">
        <v>2826</v>
      </c>
      <c r="I241" s="21" t="s">
        <v>2900</v>
      </c>
      <c r="J241" s="21" t="s">
        <v>2828</v>
      </c>
      <c r="K241" s="20" t="s">
        <v>0</v>
      </c>
    </row>
    <row r="242" spans="1:11" x14ac:dyDescent="0.2">
      <c r="A242" s="30" t="s">
        <v>1569</v>
      </c>
      <c r="B242" s="21" t="s">
        <v>2189</v>
      </c>
      <c r="C242" s="21" t="s">
        <v>1347</v>
      </c>
      <c r="D242" s="21">
        <v>2014</v>
      </c>
      <c r="E242" s="21" t="s">
        <v>925</v>
      </c>
      <c r="F242" s="21" t="s">
        <v>144</v>
      </c>
      <c r="G242" s="21" t="str">
        <f>HYPERLINK("http://dx.doi.org/10.1016/j.jclepro.2014.01.034","http://dx.doi.org/10.1016/j.jclepro.2014.01.034")</f>
        <v>http://dx.doi.org/10.1016/j.jclepro.2014.01.034</v>
      </c>
      <c r="H242" s="21" t="s">
        <v>2826</v>
      </c>
      <c r="I242" s="21" t="s">
        <v>2835</v>
      </c>
      <c r="J242" s="21" t="s">
        <v>2219</v>
      </c>
      <c r="K242" s="20" t="s">
        <v>0</v>
      </c>
    </row>
    <row r="243" spans="1:11" x14ac:dyDescent="0.2">
      <c r="A243" s="30" t="s">
        <v>1569</v>
      </c>
      <c r="B243" s="21" t="s">
        <v>1858</v>
      </c>
      <c r="C243" s="21" t="s">
        <v>1348</v>
      </c>
      <c r="D243" s="21">
        <v>2017</v>
      </c>
      <c r="E243" s="21" t="s">
        <v>925</v>
      </c>
      <c r="F243" s="21" t="s">
        <v>144</v>
      </c>
      <c r="G243" s="21" t="str">
        <f>HYPERLINK("http://dx.doi.org/10.1016/j.jclepro.2017.03.100","http://dx.doi.org/10.1016/j.jclepro.2017.03.100")</f>
        <v>http://dx.doi.org/10.1016/j.jclepro.2017.03.100</v>
      </c>
      <c r="H243" s="21" t="s">
        <v>2826</v>
      </c>
      <c r="I243" s="21" t="s">
        <v>2835</v>
      </c>
      <c r="J243" s="21" t="s">
        <v>2218</v>
      </c>
      <c r="K243" s="20" t="s">
        <v>0</v>
      </c>
    </row>
    <row r="244" spans="1:11" x14ac:dyDescent="0.2">
      <c r="A244" s="30" t="s">
        <v>1569</v>
      </c>
      <c r="B244" s="21" t="s">
        <v>2104</v>
      </c>
      <c r="C244" s="21" t="s">
        <v>1349</v>
      </c>
      <c r="D244" s="21">
        <v>2008</v>
      </c>
      <c r="E244" s="21" t="s">
        <v>44</v>
      </c>
      <c r="F244" s="21" t="s">
        <v>2105</v>
      </c>
      <c r="G244" s="21" t="str">
        <f>HYPERLINK("http://dx.doi.org/10.1115/1.2807195","http://dx.doi.org/10.1115/1.2807195")</f>
        <v>http://dx.doi.org/10.1115/1.2807195</v>
      </c>
      <c r="H244" s="21" t="s">
        <v>2826</v>
      </c>
      <c r="I244" s="21" t="s">
        <v>2835</v>
      </c>
      <c r="J244" s="21" t="s">
        <v>2218</v>
      </c>
      <c r="K244" s="20" t="s">
        <v>0</v>
      </c>
    </row>
    <row r="245" spans="1:11" x14ac:dyDescent="0.2">
      <c r="A245" s="30" t="s">
        <v>2821</v>
      </c>
      <c r="B245" s="21" t="s">
        <v>787</v>
      </c>
      <c r="C245" s="21" t="s">
        <v>788</v>
      </c>
      <c r="D245" s="21">
        <v>2020</v>
      </c>
      <c r="E245" s="21" t="s">
        <v>964</v>
      </c>
      <c r="F245" s="21" t="s">
        <v>789</v>
      </c>
      <c r="G245" s="21" t="str">
        <f>HYPERLINK("http://dx.doi.org/10.1016/j.ajo.2019.11.012","http://dx.doi.org/10.1016/j.ajo.2019.11.012")</f>
        <v>http://dx.doi.org/10.1016/j.ajo.2019.11.012</v>
      </c>
      <c r="H245" s="21" t="s">
        <v>2826</v>
      </c>
      <c r="I245" s="21" t="s">
        <v>2836</v>
      </c>
      <c r="J245" s="21" t="s">
        <v>2830</v>
      </c>
      <c r="K245" s="20" t="s">
        <v>0</v>
      </c>
    </row>
    <row r="246" spans="1:11" x14ac:dyDescent="0.2">
      <c r="A246" s="30" t="s">
        <v>2821</v>
      </c>
      <c r="B246" s="21" t="s">
        <v>906</v>
      </c>
      <c r="C246" s="21" t="s">
        <v>907</v>
      </c>
      <c r="D246" s="21">
        <v>2024</v>
      </c>
      <c r="E246" s="21" t="s">
        <v>925</v>
      </c>
      <c r="F246" s="21" t="s">
        <v>144</v>
      </c>
      <c r="G246" s="21" t="str">
        <f>HYPERLINK("http://dx.doi.org/10.1016/j.jclepro.2023.140361","http://dx.doi.org/10.1016/j.jclepro.2023.140361")</f>
        <v>http://dx.doi.org/10.1016/j.jclepro.2023.140361</v>
      </c>
      <c r="H246" s="21" t="s">
        <v>2826</v>
      </c>
      <c r="I246" s="21" t="s">
        <v>2832</v>
      </c>
      <c r="J246" s="21" t="s">
        <v>2213</v>
      </c>
      <c r="K246" s="20" t="s">
        <v>0</v>
      </c>
    </row>
    <row r="247" spans="1:11" x14ac:dyDescent="0.2">
      <c r="A247" s="30" t="s">
        <v>2821</v>
      </c>
      <c r="B247" s="21" t="s">
        <v>364</v>
      </c>
      <c r="C247" s="21" t="s">
        <v>365</v>
      </c>
      <c r="D247" s="21">
        <v>2024</v>
      </c>
      <c r="E247" s="21" t="s">
        <v>928</v>
      </c>
      <c r="F247" s="21" t="s">
        <v>366</v>
      </c>
      <c r="G247" s="21" t="str">
        <f>HYPERLINK("http://dx.doi.org/10.1016/j.est.2024.114199","http://dx.doi.org/10.1016/j.est.2024.114199")</f>
        <v>http://dx.doi.org/10.1016/j.est.2024.114199</v>
      </c>
      <c r="H247" s="21" t="s">
        <v>2826</v>
      </c>
      <c r="I247" s="21" t="s">
        <v>2835</v>
      </c>
      <c r="J247" s="21" t="s">
        <v>2218</v>
      </c>
      <c r="K247" s="20" t="s">
        <v>0</v>
      </c>
    </row>
    <row r="248" spans="1:11" x14ac:dyDescent="0.2">
      <c r="A248" s="30" t="s">
        <v>1569</v>
      </c>
      <c r="B248" s="21" t="s">
        <v>1683</v>
      </c>
      <c r="C248" s="21" t="s">
        <v>1577</v>
      </c>
      <c r="D248" s="21">
        <v>2019</v>
      </c>
      <c r="E248" s="21" t="s">
        <v>1684</v>
      </c>
      <c r="F248" s="21" t="s">
        <v>1685</v>
      </c>
      <c r="G248" s="21" t="str">
        <f>HYPERLINK("http://dx.doi.org/10.2478/rtuect-2019-0068","http://dx.doi.org/10.2478/rtuect-2019-0068")</f>
        <v>http://dx.doi.org/10.2478/rtuect-2019-0068</v>
      </c>
      <c r="H248" s="21" t="s">
        <v>2826</v>
      </c>
      <c r="I248" s="21" t="s">
        <v>2832</v>
      </c>
      <c r="J248" s="21" t="s">
        <v>2847</v>
      </c>
      <c r="K248" s="20" t="s">
        <v>0</v>
      </c>
    </row>
    <row r="249" spans="1:11" x14ac:dyDescent="0.2">
      <c r="A249" s="30" t="s">
        <v>2821</v>
      </c>
      <c r="B249" s="21" t="s">
        <v>456</v>
      </c>
      <c r="C249" s="21" t="s">
        <v>457</v>
      </c>
      <c r="D249" s="21">
        <v>2019</v>
      </c>
      <c r="E249" s="21" t="s">
        <v>925</v>
      </c>
      <c r="F249" s="21" t="s">
        <v>167</v>
      </c>
      <c r="G249" s="21" t="str">
        <f>HYPERLINK("http://dx.doi.org/10.1016/j.apenergy.2018.11.055","http://dx.doi.org/10.1016/j.apenergy.2018.11.055")</f>
        <v>http://dx.doi.org/10.1016/j.apenergy.2018.11.055</v>
      </c>
      <c r="H249" s="21" t="s">
        <v>2826</v>
      </c>
      <c r="I249" s="21" t="s">
        <v>2832</v>
      </c>
      <c r="J249" s="21" t="s">
        <v>2829</v>
      </c>
      <c r="K249" s="20" t="s">
        <v>0</v>
      </c>
    </row>
    <row r="250" spans="1:11" x14ac:dyDescent="0.2">
      <c r="A250" s="30" t="s">
        <v>1569</v>
      </c>
      <c r="B250" s="21" t="s">
        <v>1811</v>
      </c>
      <c r="C250" s="21" t="s">
        <v>1350</v>
      </c>
      <c r="D250" s="21">
        <v>2018</v>
      </c>
      <c r="E250" s="21" t="s">
        <v>925</v>
      </c>
      <c r="F250" s="21" t="s">
        <v>1812</v>
      </c>
      <c r="G250" s="21" t="str">
        <f>HYPERLINK("http://dx.doi.org/10.1016/j.jcou.2017.11.008","http://dx.doi.org/10.1016/j.jcou.2017.11.008")</f>
        <v>http://dx.doi.org/10.1016/j.jcou.2017.11.008</v>
      </c>
      <c r="H250" s="21" t="s">
        <v>2826</v>
      </c>
      <c r="I250" s="21" t="s">
        <v>2835</v>
      </c>
      <c r="J250" s="21" t="s">
        <v>2219</v>
      </c>
      <c r="K250" s="20" t="s">
        <v>0</v>
      </c>
    </row>
    <row r="251" spans="1:11" x14ac:dyDescent="0.2">
      <c r="A251" s="30" t="s">
        <v>1569</v>
      </c>
      <c r="B251" s="21" t="s">
        <v>1973</v>
      </c>
      <c r="C251" s="21" t="s">
        <v>1351</v>
      </c>
      <c r="D251" s="21">
        <v>2015</v>
      </c>
      <c r="E251" s="21" t="s">
        <v>931</v>
      </c>
      <c r="F251" s="21" t="s">
        <v>306</v>
      </c>
      <c r="G251" s="21" t="str">
        <f>HYPERLINK("http://dx.doi.org/10.1016/j.rser.2015.03.018","http://dx.doi.org/10.1016/j.rser.2015.03.018")</f>
        <v>http://dx.doi.org/10.1016/j.rser.2015.03.018</v>
      </c>
      <c r="H251" s="21" t="s">
        <v>2826</v>
      </c>
      <c r="I251" s="21" t="s">
        <v>2835</v>
      </c>
      <c r="J251" s="21" t="s">
        <v>2218</v>
      </c>
      <c r="K251" s="20" t="s">
        <v>0</v>
      </c>
    </row>
    <row r="252" spans="1:11" x14ac:dyDescent="0.2">
      <c r="A252" s="30" t="s">
        <v>2821</v>
      </c>
      <c r="B252" s="21" t="s">
        <v>1180</v>
      </c>
      <c r="C252" s="21" t="s">
        <v>1100</v>
      </c>
      <c r="D252" s="21">
        <v>2022</v>
      </c>
      <c r="E252" s="21" t="s">
        <v>928</v>
      </c>
      <c r="F252" s="21" t="s">
        <v>173</v>
      </c>
      <c r="G252" s="21" t="str">
        <f>HYPERLINK("http://dx.doi.org/10.1016/j.spc.2021.12.014","http://dx.doi.org/10.1016/j.spc.2021.12.014")</f>
        <v>http://dx.doi.org/10.1016/j.spc.2021.12.014</v>
      </c>
      <c r="H252" s="21" t="s">
        <v>2826</v>
      </c>
      <c r="I252" s="21" t="s">
        <v>2900</v>
      </c>
      <c r="J252" s="21" t="s">
        <v>2828</v>
      </c>
      <c r="K252" s="20" t="s">
        <v>0</v>
      </c>
    </row>
    <row r="253" spans="1:11" x14ac:dyDescent="0.2">
      <c r="A253" s="30" t="s">
        <v>2821</v>
      </c>
      <c r="B253" s="21" t="s">
        <v>1023</v>
      </c>
      <c r="C253" s="21" t="s">
        <v>1024</v>
      </c>
      <c r="D253" s="21">
        <v>2023</v>
      </c>
      <c r="E253" s="21" t="s">
        <v>41</v>
      </c>
      <c r="F253" s="21" t="s">
        <v>1025</v>
      </c>
      <c r="G253" s="21" t="str">
        <f>HYPERLINK("http://dx.doi.org/10.3390/d15040506","http://dx.doi.org/10.3390/d15040506")</f>
        <v>http://dx.doi.org/10.3390/d15040506</v>
      </c>
      <c r="H253" s="21" t="s">
        <v>2826</v>
      </c>
      <c r="I253" s="21" t="s">
        <v>2836</v>
      </c>
      <c r="J253" s="21" t="s">
        <v>2830</v>
      </c>
      <c r="K253" s="20" t="s">
        <v>0</v>
      </c>
    </row>
    <row r="254" spans="1:11" x14ac:dyDescent="0.2">
      <c r="A254" s="30" t="s">
        <v>2821</v>
      </c>
      <c r="B254" s="21" t="s">
        <v>575</v>
      </c>
      <c r="C254" s="21" t="s">
        <v>576</v>
      </c>
      <c r="D254" s="21">
        <v>2017</v>
      </c>
      <c r="E254" s="21" t="s">
        <v>931</v>
      </c>
      <c r="F254" s="21" t="s">
        <v>314</v>
      </c>
      <c r="G254" s="21" t="str">
        <f>HYPERLINK("http://dx.doi.org/10.1016/j.renene.2016.09.064","http://dx.doi.org/10.1016/j.renene.2016.09.064")</f>
        <v>http://dx.doi.org/10.1016/j.renene.2016.09.064</v>
      </c>
      <c r="H254" s="21" t="s">
        <v>2826</v>
      </c>
      <c r="I254" s="21" t="s">
        <v>2835</v>
      </c>
      <c r="J254" s="21" t="s">
        <v>2214</v>
      </c>
      <c r="K254" s="20" t="s">
        <v>0</v>
      </c>
    </row>
    <row r="255" spans="1:11" x14ac:dyDescent="0.2">
      <c r="A255" s="30" t="s">
        <v>2821</v>
      </c>
      <c r="B255" s="21" t="s">
        <v>1017</v>
      </c>
      <c r="C255" s="21" t="s">
        <v>103</v>
      </c>
      <c r="D255" s="21">
        <v>2021</v>
      </c>
      <c r="E255" s="21" t="s">
        <v>923</v>
      </c>
      <c r="F255" s="21" t="s">
        <v>127</v>
      </c>
      <c r="G255" s="21" t="str">
        <f>HYPERLINK("http://dx.doi.org/10.1111/jiec.13122","http://dx.doi.org/10.1111/jiec.13122")</f>
        <v>http://dx.doi.org/10.1111/jiec.13122</v>
      </c>
      <c r="H255" s="21" t="s">
        <v>2826</v>
      </c>
      <c r="I255" s="21" t="s">
        <v>2900</v>
      </c>
      <c r="J255" s="21" t="s">
        <v>2828</v>
      </c>
      <c r="K255" s="20" t="s">
        <v>0</v>
      </c>
    </row>
    <row r="256" spans="1:11" x14ac:dyDescent="0.2">
      <c r="A256" s="30" t="s">
        <v>1569</v>
      </c>
      <c r="B256" s="21" t="s">
        <v>2132</v>
      </c>
      <c r="C256" s="21" t="s">
        <v>1352</v>
      </c>
      <c r="D256" s="21">
        <v>2005</v>
      </c>
      <c r="E256" s="21" t="s">
        <v>926</v>
      </c>
      <c r="F256" s="21" t="s">
        <v>2133</v>
      </c>
      <c r="G256" s="21" t="str">
        <f>HYPERLINK("http://dx.doi.org/10.1007/s00163-004-0055-7","http://dx.doi.org/10.1007/s00163-004-0055-7")</f>
        <v>http://dx.doi.org/10.1007/s00163-004-0055-7</v>
      </c>
      <c r="H256" s="21" t="s">
        <v>2826</v>
      </c>
      <c r="I256" s="21" t="s">
        <v>2835</v>
      </c>
      <c r="J256" s="21" t="s">
        <v>2218</v>
      </c>
      <c r="K256" s="20" t="s">
        <v>0</v>
      </c>
    </row>
    <row r="257" spans="1:11" x14ac:dyDescent="0.2">
      <c r="A257" s="30" t="s">
        <v>1569</v>
      </c>
      <c r="B257" s="21" t="s">
        <v>2060</v>
      </c>
      <c r="C257" s="21" t="s">
        <v>1353</v>
      </c>
      <c r="D257" s="21">
        <v>2012</v>
      </c>
      <c r="E257" s="21" t="s">
        <v>925</v>
      </c>
      <c r="F257" s="21" t="s">
        <v>144</v>
      </c>
      <c r="G257" s="21" t="str">
        <f>HYPERLINK("http://dx.doi.org/10.1016/j.jclepro.2011.11.046","http://dx.doi.org/10.1016/j.jclepro.2011.11.046")</f>
        <v>http://dx.doi.org/10.1016/j.jclepro.2011.11.046</v>
      </c>
      <c r="H257" s="21" t="s">
        <v>2826</v>
      </c>
      <c r="I257" s="21" t="s">
        <v>2835</v>
      </c>
      <c r="J257" s="21" t="s">
        <v>2218</v>
      </c>
      <c r="K257" s="20" t="s">
        <v>0</v>
      </c>
    </row>
    <row r="258" spans="1:11" x14ac:dyDescent="0.2">
      <c r="A258" s="30" t="s">
        <v>1569</v>
      </c>
      <c r="B258" s="21" t="s">
        <v>2153</v>
      </c>
      <c r="C258" s="21" t="s">
        <v>1354</v>
      </c>
      <c r="D258" s="21">
        <v>2010</v>
      </c>
      <c r="E258" s="21" t="s">
        <v>925</v>
      </c>
      <c r="F258" s="21" t="s">
        <v>56</v>
      </c>
      <c r="G258" s="21" t="str">
        <f>HYPERLINK("http://dx.doi.org/10.1016/j.enpol.2010.04.028","http://dx.doi.org/10.1016/j.enpol.2010.04.028")</f>
        <v>http://dx.doi.org/10.1016/j.enpol.2010.04.028</v>
      </c>
      <c r="H258" s="21" t="s">
        <v>2825</v>
      </c>
      <c r="I258" s="21" t="s">
        <v>2209</v>
      </c>
      <c r="J258" s="21" t="s">
        <v>2876</v>
      </c>
      <c r="K258" s="20" t="s">
        <v>0</v>
      </c>
    </row>
    <row r="259" spans="1:11" x14ac:dyDescent="0.2">
      <c r="A259" s="30" t="s">
        <v>1569</v>
      </c>
      <c r="B259" s="21" t="s">
        <v>1823</v>
      </c>
      <c r="C259" s="21" t="s">
        <v>1355</v>
      </c>
      <c r="D259" s="21">
        <v>2017</v>
      </c>
      <c r="E259" s="21" t="s">
        <v>995</v>
      </c>
      <c r="F259" s="21" t="s">
        <v>197</v>
      </c>
      <c r="G259" s="21" t="str">
        <f>HYPERLINK("http://dx.doi.org/10.1016/j.scitotenv.2017.03.244","http://dx.doi.org/10.1016/j.scitotenv.2017.03.244")</f>
        <v>http://dx.doi.org/10.1016/j.scitotenv.2017.03.244</v>
      </c>
      <c r="H259" s="21" t="s">
        <v>2826</v>
      </c>
      <c r="I259" s="21" t="s">
        <v>2835</v>
      </c>
      <c r="J259" s="21" t="s">
        <v>2218</v>
      </c>
      <c r="K259" s="20" t="s">
        <v>0</v>
      </c>
    </row>
    <row r="260" spans="1:11" x14ac:dyDescent="0.2">
      <c r="A260" s="30" t="s">
        <v>1569</v>
      </c>
      <c r="B260" s="21" t="s">
        <v>1970</v>
      </c>
      <c r="C260" s="21" t="s">
        <v>1356</v>
      </c>
      <c r="D260" s="21">
        <v>2015</v>
      </c>
      <c r="E260" s="21" t="s">
        <v>931</v>
      </c>
      <c r="F260" s="21" t="s">
        <v>181</v>
      </c>
      <c r="G260" s="21" t="str">
        <f>HYPERLINK("http://dx.doi.org/10.1016/j.buildenv.2015.03.022","http://dx.doi.org/10.1016/j.buildenv.2015.03.022")</f>
        <v>http://dx.doi.org/10.1016/j.buildenv.2015.03.022</v>
      </c>
      <c r="H260" s="21" t="s">
        <v>2826</v>
      </c>
      <c r="I260" s="21" t="s">
        <v>2835</v>
      </c>
      <c r="J260" s="21" t="s">
        <v>2218</v>
      </c>
      <c r="K260" s="20" t="s">
        <v>0</v>
      </c>
    </row>
    <row r="261" spans="1:11" x14ac:dyDescent="0.2">
      <c r="A261" s="30" t="s">
        <v>2821</v>
      </c>
      <c r="B261" s="21" t="s">
        <v>2308</v>
      </c>
      <c r="C261" s="21" t="s">
        <v>2311</v>
      </c>
      <c r="D261" s="21">
        <v>2025</v>
      </c>
      <c r="E261" s="21" t="s">
        <v>931</v>
      </c>
      <c r="F261" s="21" t="s">
        <v>306</v>
      </c>
      <c r="G261" s="21" t="str">
        <f>HYPERLINK("http://dx.doi.org/10.1016/j.rser.2025.115481","http://dx.doi.org/10.1016/j.rser.2025.115481")</f>
        <v>http://dx.doi.org/10.1016/j.rser.2025.115481</v>
      </c>
      <c r="H261" s="21" t="s">
        <v>2826</v>
      </c>
      <c r="I261" s="21" t="s">
        <v>2835</v>
      </c>
      <c r="J261" s="21" t="s">
        <v>2218</v>
      </c>
      <c r="K261" s="20" t="s">
        <v>0</v>
      </c>
    </row>
    <row r="262" spans="1:11" x14ac:dyDescent="0.2">
      <c r="A262" s="30" t="s">
        <v>2821</v>
      </c>
      <c r="B262" s="21" t="s">
        <v>165</v>
      </c>
      <c r="C262" s="21" t="s">
        <v>166</v>
      </c>
      <c r="D262" s="21">
        <v>2022</v>
      </c>
      <c r="E262" s="21" t="s">
        <v>925</v>
      </c>
      <c r="F262" s="21" t="s">
        <v>167</v>
      </c>
      <c r="G262" s="21" t="str">
        <f>HYPERLINK("http://dx.doi.org/10.1016/j.apenergy.2021.118141","http://dx.doi.org/10.1016/j.apenergy.2021.118141")</f>
        <v>http://dx.doi.org/10.1016/j.apenergy.2021.118141</v>
      </c>
      <c r="H262" s="21" t="s">
        <v>2826</v>
      </c>
      <c r="I262" s="21" t="s">
        <v>2835</v>
      </c>
      <c r="J262" s="21" t="s">
        <v>2218</v>
      </c>
      <c r="K262" s="20" t="s">
        <v>0</v>
      </c>
    </row>
    <row r="263" spans="1:11" x14ac:dyDescent="0.2">
      <c r="A263" s="30" t="s">
        <v>1569</v>
      </c>
      <c r="B263" s="21" t="s">
        <v>1945</v>
      </c>
      <c r="C263" s="21" t="s">
        <v>1357</v>
      </c>
      <c r="D263" s="21">
        <v>2016</v>
      </c>
      <c r="E263" s="21" t="s">
        <v>925</v>
      </c>
      <c r="F263" s="21" t="s">
        <v>144</v>
      </c>
      <c r="G263" s="21" t="str">
        <f>HYPERLINK("http://dx.doi.org/10.1016/j.jclepro.2015.05.118","http://dx.doi.org/10.1016/j.jclepro.2015.05.118")</f>
        <v>http://dx.doi.org/10.1016/j.jclepro.2015.05.118</v>
      </c>
      <c r="H263" s="21" t="s">
        <v>2825</v>
      </c>
      <c r="I263" s="21" t="s">
        <v>2832</v>
      </c>
      <c r="J263" s="21" t="s">
        <v>2853</v>
      </c>
      <c r="K263" s="20" t="s">
        <v>0</v>
      </c>
    </row>
    <row r="264" spans="1:11" x14ac:dyDescent="0.2">
      <c r="A264" s="30" t="s">
        <v>2821</v>
      </c>
      <c r="B264" s="21" t="s">
        <v>405</v>
      </c>
      <c r="C264" s="21" t="s">
        <v>406</v>
      </c>
      <c r="D264" s="21">
        <v>2012</v>
      </c>
      <c r="E264" s="21" t="s">
        <v>943</v>
      </c>
      <c r="F264" s="21" t="s">
        <v>407</v>
      </c>
      <c r="G264" s="21" t="str">
        <f>HYPERLINK("http://dx.doi.org/10.1557/mrs.2012.50","http://dx.doi.org/10.1557/mrs.2012.50")</f>
        <v>http://dx.doi.org/10.1557/mrs.2012.50</v>
      </c>
      <c r="H264" s="21" t="s">
        <v>2826</v>
      </c>
      <c r="I264" s="21" t="s">
        <v>2900</v>
      </c>
      <c r="J264" s="21" t="s">
        <v>2828</v>
      </c>
      <c r="K264" s="20" t="s">
        <v>0</v>
      </c>
    </row>
    <row r="265" spans="1:11" x14ac:dyDescent="0.2">
      <c r="A265" s="30" t="s">
        <v>2821</v>
      </c>
      <c r="B265" s="21" t="s">
        <v>509</v>
      </c>
      <c r="C265" s="21" t="s">
        <v>510</v>
      </c>
      <c r="D265" s="21">
        <v>2024</v>
      </c>
      <c r="E265" s="21" t="s">
        <v>988</v>
      </c>
      <c r="F265" s="21" t="s">
        <v>511</v>
      </c>
      <c r="G265" s="21" t="str">
        <f>HYPERLINK("http://dx.doi.org/10.1007/s12562-023-01744-z","http://dx.doi.org/10.1007/s12562-023-01744-z")</f>
        <v>http://dx.doi.org/10.1007/s12562-023-01744-z</v>
      </c>
      <c r="H265" s="21" t="s">
        <v>2826</v>
      </c>
      <c r="I265" s="21" t="s">
        <v>2836</v>
      </c>
      <c r="J265" s="21" t="s">
        <v>2830</v>
      </c>
      <c r="K265" s="20" t="s">
        <v>0</v>
      </c>
    </row>
    <row r="266" spans="1:11" x14ac:dyDescent="0.2">
      <c r="A266" s="30" t="s">
        <v>2821</v>
      </c>
      <c r="B266" s="21" t="s">
        <v>142</v>
      </c>
      <c r="C266" s="21" t="s">
        <v>143</v>
      </c>
      <c r="D266" s="21">
        <v>2022</v>
      </c>
      <c r="E266" s="21" t="s">
        <v>925</v>
      </c>
      <c r="F266" s="21" t="s">
        <v>144</v>
      </c>
      <c r="G266" s="21" t="str">
        <f>HYPERLINK("http://dx.doi.org/10.1016/j.jclepro.2022.132592","http://dx.doi.org/10.1016/j.jclepro.2022.132592")</f>
        <v>http://dx.doi.org/10.1016/j.jclepro.2022.132592</v>
      </c>
      <c r="H266" s="21" t="s">
        <v>2826</v>
      </c>
      <c r="I266" s="21" t="s">
        <v>2835</v>
      </c>
      <c r="J266" s="21" t="s">
        <v>2218</v>
      </c>
      <c r="K266" s="20" t="s">
        <v>0</v>
      </c>
    </row>
    <row r="267" spans="1:11" x14ac:dyDescent="0.2">
      <c r="A267" s="30" t="s">
        <v>1569</v>
      </c>
      <c r="B267" s="21" t="s">
        <v>2139</v>
      </c>
      <c r="C267" s="21" t="s">
        <v>1671</v>
      </c>
      <c r="D267" s="21">
        <v>2002</v>
      </c>
      <c r="E267" s="21" t="s">
        <v>944</v>
      </c>
      <c r="F267" s="21" t="s">
        <v>209</v>
      </c>
      <c r="G267" s="21" t="str">
        <f>HYPERLINK("http://dx.doi.org/10.1065/lca2002.06.085","http://dx.doi.org/10.1065/lca2002.06.085")</f>
        <v>http://dx.doi.org/10.1065/lca2002.06.085</v>
      </c>
      <c r="H267" s="21" t="s">
        <v>2826</v>
      </c>
      <c r="I267" s="21" t="s">
        <v>2835</v>
      </c>
      <c r="J267" s="21" t="s">
        <v>2218</v>
      </c>
      <c r="K267" s="20" t="s">
        <v>0</v>
      </c>
    </row>
    <row r="268" spans="1:11" x14ac:dyDescent="0.2">
      <c r="A268" s="30" t="s">
        <v>1569</v>
      </c>
      <c r="B268" s="21" t="s">
        <v>2047</v>
      </c>
      <c r="C268" s="21" t="s">
        <v>1358</v>
      </c>
      <c r="D268" s="21">
        <v>2013</v>
      </c>
      <c r="E268" s="21" t="s">
        <v>925</v>
      </c>
      <c r="F268" s="21" t="s">
        <v>167</v>
      </c>
      <c r="G268" s="21" t="str">
        <f>HYPERLINK("http://dx.doi.org/10.1016/j.apenergy.2012.11.002","http://dx.doi.org/10.1016/j.apenergy.2012.11.002")</f>
        <v>http://dx.doi.org/10.1016/j.apenergy.2012.11.002</v>
      </c>
      <c r="H268" s="21" t="s">
        <v>2826</v>
      </c>
      <c r="I268" s="21" t="s">
        <v>2835</v>
      </c>
      <c r="J268" s="21" t="s">
        <v>2218</v>
      </c>
      <c r="K268" s="20" t="s">
        <v>0</v>
      </c>
    </row>
    <row r="269" spans="1:11" x14ac:dyDescent="0.2">
      <c r="A269" s="30" t="s">
        <v>1569</v>
      </c>
      <c r="B269" s="21" t="s">
        <v>1733</v>
      </c>
      <c r="C269" s="21" t="s">
        <v>1615</v>
      </c>
      <c r="D269" s="21">
        <v>2019</v>
      </c>
      <c r="E269" s="21" t="s">
        <v>923</v>
      </c>
      <c r="F269" s="21" t="s">
        <v>127</v>
      </c>
      <c r="G269" s="21" t="str">
        <f>HYPERLINK("http://dx.doi.org/10.1111/jiec.12703","http://dx.doi.org/10.1111/jiec.12703")</f>
        <v>http://dx.doi.org/10.1111/jiec.12703</v>
      </c>
      <c r="H269" s="21" t="s">
        <v>2826</v>
      </c>
      <c r="I269" s="21" t="s">
        <v>2835</v>
      </c>
      <c r="J269" s="21" t="s">
        <v>2218</v>
      </c>
      <c r="K269" s="20" t="s">
        <v>0</v>
      </c>
    </row>
    <row r="270" spans="1:11" x14ac:dyDescent="0.2">
      <c r="A270" s="30" t="s">
        <v>1569</v>
      </c>
      <c r="B270" s="21" t="s">
        <v>1255</v>
      </c>
      <c r="C270" s="21" t="s">
        <v>1359</v>
      </c>
      <c r="D270" s="21">
        <v>2015</v>
      </c>
      <c r="E270" s="21" t="s">
        <v>925</v>
      </c>
      <c r="F270" s="21" t="s">
        <v>144</v>
      </c>
      <c r="G270" s="21" t="str">
        <f>HYPERLINK("http://dx.doi.org/10.1016/j.jclepro.2015.03.011","http://dx.doi.org/10.1016/j.jclepro.2015.03.011")</f>
        <v>http://dx.doi.org/10.1016/j.jclepro.2015.03.011</v>
      </c>
      <c r="H270" s="21" t="s">
        <v>2826</v>
      </c>
      <c r="I270" s="21" t="s">
        <v>2835</v>
      </c>
      <c r="J270" s="21" t="s">
        <v>2219</v>
      </c>
      <c r="K270" s="20" t="s">
        <v>0</v>
      </c>
    </row>
    <row r="271" spans="1:11" x14ac:dyDescent="0.2">
      <c r="A271" s="30" t="s">
        <v>1569</v>
      </c>
      <c r="B271" s="21" t="s">
        <v>1803</v>
      </c>
      <c r="C271" s="21" t="s">
        <v>1360</v>
      </c>
      <c r="D271" s="21">
        <v>2018</v>
      </c>
      <c r="E271" s="21" t="s">
        <v>925</v>
      </c>
      <c r="F271" s="21" t="s">
        <v>144</v>
      </c>
      <c r="G271" s="21" t="str">
        <f>HYPERLINK("http://dx.doi.org/10.1016/j.jclepro.2017.09.268","http://dx.doi.org/10.1016/j.jclepro.2017.09.268")</f>
        <v>http://dx.doi.org/10.1016/j.jclepro.2017.09.268</v>
      </c>
      <c r="H271" s="21" t="s">
        <v>2826</v>
      </c>
      <c r="I271" s="21" t="s">
        <v>2835</v>
      </c>
      <c r="J271" s="21" t="s">
        <v>2219</v>
      </c>
      <c r="K271" s="20" t="s">
        <v>0</v>
      </c>
    </row>
    <row r="272" spans="1:11" x14ac:dyDescent="0.2">
      <c r="A272" s="30" t="s">
        <v>2821</v>
      </c>
      <c r="B272" s="21" t="s">
        <v>916</v>
      </c>
      <c r="C272" s="21" t="s">
        <v>917</v>
      </c>
      <c r="D272" s="21">
        <v>2012</v>
      </c>
      <c r="E272" s="21" t="s">
        <v>1026</v>
      </c>
      <c r="F272" s="21" t="s">
        <v>918</v>
      </c>
      <c r="G272" s="21" t="str">
        <f>HYPERLINK("http://dx.doi.org/10.1186/1471-2288-12-151","http://dx.doi.org/10.1186/1471-2288-12-151")</f>
        <v>http://dx.doi.org/10.1186/1471-2288-12-151</v>
      </c>
      <c r="H272" s="21" t="s">
        <v>2826</v>
      </c>
      <c r="I272" s="21" t="s">
        <v>2836</v>
      </c>
      <c r="J272" s="21" t="s">
        <v>2830</v>
      </c>
      <c r="K272" s="20" t="s">
        <v>0</v>
      </c>
    </row>
    <row r="273" spans="1:11" x14ac:dyDescent="0.2">
      <c r="A273" s="30" t="s">
        <v>2821</v>
      </c>
      <c r="B273" s="21" t="s">
        <v>223</v>
      </c>
      <c r="C273" s="21" t="s">
        <v>224</v>
      </c>
      <c r="D273" s="21">
        <v>2023</v>
      </c>
      <c r="E273" s="21" t="s">
        <v>926</v>
      </c>
      <c r="F273" s="21" t="s">
        <v>225</v>
      </c>
      <c r="G273" s="21" t="str">
        <f>HYPERLINK("http://dx.doi.org/10.1007/s11356-023-29731-y","http://dx.doi.org/10.1007/s11356-023-29731-y")</f>
        <v>http://dx.doi.org/10.1007/s11356-023-29731-y</v>
      </c>
      <c r="H273" s="21" t="s">
        <v>2826</v>
      </c>
      <c r="I273" s="21" t="s">
        <v>2833</v>
      </c>
      <c r="J273" s="21" t="s">
        <v>2827</v>
      </c>
      <c r="K273" s="20" t="s">
        <v>0</v>
      </c>
    </row>
    <row r="274" spans="1:11" x14ac:dyDescent="0.2">
      <c r="A274" s="30" t="s">
        <v>1569</v>
      </c>
      <c r="B274" s="21" t="s">
        <v>2022</v>
      </c>
      <c r="C274" s="21" t="s">
        <v>1361</v>
      </c>
      <c r="D274" s="21">
        <v>2014</v>
      </c>
      <c r="E274" s="21" t="s">
        <v>926</v>
      </c>
      <c r="F274" s="21" t="s">
        <v>209</v>
      </c>
      <c r="G274" s="21" t="str">
        <f>HYPERLINK("http://dx.doi.org/10.1007/s11367-013-0680-3","http://dx.doi.org/10.1007/s11367-013-0680-3")</f>
        <v>http://dx.doi.org/10.1007/s11367-013-0680-3</v>
      </c>
      <c r="H274" s="21" t="s">
        <v>2826</v>
      </c>
      <c r="I274" s="21" t="s">
        <v>2835</v>
      </c>
      <c r="J274" s="21" t="s">
        <v>2218</v>
      </c>
      <c r="K274" s="20" t="s">
        <v>0</v>
      </c>
    </row>
    <row r="275" spans="1:11" x14ac:dyDescent="0.2">
      <c r="A275" s="30" t="s">
        <v>2821</v>
      </c>
      <c r="B275" s="21" t="s">
        <v>318</v>
      </c>
      <c r="C275" s="21" t="s">
        <v>319</v>
      </c>
      <c r="D275" s="21">
        <v>2012</v>
      </c>
      <c r="E275" s="21" t="s">
        <v>931</v>
      </c>
      <c r="F275" s="21" t="s">
        <v>320</v>
      </c>
      <c r="G275" s="21" t="str">
        <f>HYPERLINK("http://dx.doi.org/10.1016/j.solener.2011.09.015","http://dx.doi.org/10.1016/j.solener.2011.09.015")</f>
        <v>http://dx.doi.org/10.1016/j.solener.2011.09.015</v>
      </c>
      <c r="H275" s="21" t="s">
        <v>2825</v>
      </c>
      <c r="I275" s="21" t="s">
        <v>2832</v>
      </c>
      <c r="J275" s="21" t="s">
        <v>95</v>
      </c>
      <c r="K275" s="20" t="s">
        <v>0</v>
      </c>
    </row>
    <row r="276" spans="1:11" x14ac:dyDescent="0.2">
      <c r="A276" s="30" t="s">
        <v>1569</v>
      </c>
      <c r="B276" s="21" t="s">
        <v>1794</v>
      </c>
      <c r="C276" s="21" t="s">
        <v>1362</v>
      </c>
      <c r="D276" s="21">
        <v>2018</v>
      </c>
      <c r="E276" s="21" t="s">
        <v>923</v>
      </c>
      <c r="F276" s="21" t="s">
        <v>127</v>
      </c>
      <c r="G276" s="21" t="str">
        <f>HYPERLINK("http://dx.doi.org/10.1111/jiec.12593","http://dx.doi.org/10.1111/jiec.12593")</f>
        <v>http://dx.doi.org/10.1111/jiec.12593</v>
      </c>
      <c r="H276" s="21" t="s">
        <v>2825</v>
      </c>
      <c r="I276" s="21" t="s">
        <v>2832</v>
      </c>
      <c r="J276" s="21" t="s">
        <v>2886</v>
      </c>
      <c r="K276" s="20" t="s">
        <v>0</v>
      </c>
    </row>
    <row r="277" spans="1:11" x14ac:dyDescent="0.2">
      <c r="A277" s="30" t="s">
        <v>2821</v>
      </c>
      <c r="B277" s="21" t="s">
        <v>1138</v>
      </c>
      <c r="C277" s="21" t="s">
        <v>75</v>
      </c>
      <c r="D277" s="21">
        <v>2017</v>
      </c>
      <c r="E277" s="21" t="s">
        <v>931</v>
      </c>
      <c r="F277" s="21" t="s">
        <v>306</v>
      </c>
      <c r="G277" s="21" t="str">
        <f>HYPERLINK("http://dx.doi.org/10.1016/j.rser.2016.10.045","http://dx.doi.org/10.1016/j.rser.2016.10.045")</f>
        <v>http://dx.doi.org/10.1016/j.rser.2016.10.045</v>
      </c>
      <c r="H277" s="21" t="s">
        <v>2825</v>
      </c>
      <c r="I277" s="21" t="s">
        <v>2832</v>
      </c>
      <c r="J277" s="21" t="s">
        <v>2240</v>
      </c>
      <c r="K277" s="20" t="s">
        <v>0</v>
      </c>
    </row>
    <row r="278" spans="1:11" x14ac:dyDescent="0.2">
      <c r="A278" s="30" t="s">
        <v>2821</v>
      </c>
      <c r="B278" s="21" t="s">
        <v>312</v>
      </c>
      <c r="C278" s="21" t="s">
        <v>313</v>
      </c>
      <c r="D278" s="21">
        <v>2018</v>
      </c>
      <c r="E278" s="21" t="s">
        <v>931</v>
      </c>
      <c r="F278" s="21" t="s">
        <v>314</v>
      </c>
      <c r="G278" s="21" t="str">
        <f>HYPERLINK("http://dx.doi.org/10.1016/j.renene.2018.03.044","http://dx.doi.org/10.1016/j.renene.2018.03.044")</f>
        <v>http://dx.doi.org/10.1016/j.renene.2018.03.044</v>
      </c>
      <c r="H278" s="21" t="s">
        <v>2825</v>
      </c>
      <c r="I278" s="21" t="s">
        <v>2832</v>
      </c>
      <c r="J278" s="21" t="s">
        <v>2884</v>
      </c>
      <c r="K278" s="20" t="s">
        <v>0</v>
      </c>
    </row>
    <row r="279" spans="1:11" x14ac:dyDescent="0.2">
      <c r="A279" s="30" t="s">
        <v>2821</v>
      </c>
      <c r="B279" s="21" t="s">
        <v>444</v>
      </c>
      <c r="C279" s="21" t="s">
        <v>445</v>
      </c>
      <c r="D279" s="21">
        <v>2018</v>
      </c>
      <c r="E279" s="21" t="s">
        <v>925</v>
      </c>
      <c r="F279" s="21" t="s">
        <v>56</v>
      </c>
      <c r="G279" s="21" t="str">
        <f>HYPERLINK("http://dx.doi.org/10.1016/j.enpol.2017.12.038","http://dx.doi.org/10.1016/j.enpol.2017.12.038")</f>
        <v>http://dx.doi.org/10.1016/j.enpol.2017.12.038</v>
      </c>
      <c r="H279" s="21" t="s">
        <v>2825</v>
      </c>
      <c r="I279" s="21" t="s">
        <v>2832</v>
      </c>
      <c r="J279" s="21" t="s">
        <v>2884</v>
      </c>
      <c r="K279" s="20" t="s">
        <v>0</v>
      </c>
    </row>
    <row r="280" spans="1:11" x14ac:dyDescent="0.2">
      <c r="A280" s="30" t="s">
        <v>2821</v>
      </c>
      <c r="B280" s="21" t="s">
        <v>371</v>
      </c>
      <c r="C280" s="21" t="s">
        <v>372</v>
      </c>
      <c r="D280" s="21">
        <v>2017</v>
      </c>
      <c r="E280" s="21" t="s">
        <v>925</v>
      </c>
      <c r="F280" s="21" t="s">
        <v>167</v>
      </c>
      <c r="G280" s="21" t="str">
        <f>HYPERLINK("http://dx.doi.org/10.1016/j.apenergy.2017.01.011","http://dx.doi.org/10.1016/j.apenergy.2017.01.011")</f>
        <v>http://dx.doi.org/10.1016/j.apenergy.2017.01.011</v>
      </c>
      <c r="H280" s="21" t="s">
        <v>2826</v>
      </c>
      <c r="I280" s="21" t="s">
        <v>2833</v>
      </c>
      <c r="J280" s="21" t="s">
        <v>2827</v>
      </c>
      <c r="K280" s="20" t="s">
        <v>0</v>
      </c>
    </row>
    <row r="281" spans="1:11" x14ac:dyDescent="0.2">
      <c r="A281" s="30" t="s">
        <v>2821</v>
      </c>
      <c r="B281" s="21" t="s">
        <v>134</v>
      </c>
      <c r="C281" s="21" t="s">
        <v>92</v>
      </c>
      <c r="D281" s="21">
        <v>2016</v>
      </c>
      <c r="E281" s="21" t="s">
        <v>41</v>
      </c>
      <c r="F281" s="21" t="s">
        <v>135</v>
      </c>
      <c r="G281" s="21" t="str">
        <f>HYPERLINK("http://dx.doi.org/10.3390/resources5040039","http://dx.doi.org/10.3390/resources5040039")</f>
        <v>http://dx.doi.org/10.3390/resources5040039</v>
      </c>
      <c r="H281" s="21" t="s">
        <v>2825</v>
      </c>
      <c r="I281" s="21" t="s">
        <v>2832</v>
      </c>
      <c r="J281" s="21" t="s">
        <v>2238</v>
      </c>
      <c r="K281" s="20" t="s">
        <v>0</v>
      </c>
    </row>
    <row r="282" spans="1:11" x14ac:dyDescent="0.2">
      <c r="A282" s="30" t="s">
        <v>2821</v>
      </c>
      <c r="B282" s="21" t="s">
        <v>195</v>
      </c>
      <c r="C282" s="21" t="s">
        <v>196</v>
      </c>
      <c r="D282" s="21">
        <v>2018</v>
      </c>
      <c r="E282" s="21" t="s">
        <v>928</v>
      </c>
      <c r="F282" s="21" t="s">
        <v>197</v>
      </c>
      <c r="G282" s="21" t="str">
        <f>HYPERLINK("http://dx.doi.org/10.1016/j.scitotenv.2017.08.231","http://dx.doi.org/10.1016/j.scitotenv.2017.08.231")</f>
        <v>http://dx.doi.org/10.1016/j.scitotenv.2017.08.231</v>
      </c>
      <c r="H282" s="21" t="s">
        <v>2825</v>
      </c>
      <c r="I282" s="21" t="s">
        <v>2832</v>
      </c>
      <c r="J282" s="21" t="s">
        <v>2884</v>
      </c>
      <c r="K282" s="20" t="s">
        <v>0</v>
      </c>
    </row>
    <row r="283" spans="1:11" x14ac:dyDescent="0.2">
      <c r="A283" s="30" t="s">
        <v>1569</v>
      </c>
      <c r="B283" s="21" t="s">
        <v>2130</v>
      </c>
      <c r="C283" s="21" t="s">
        <v>1669</v>
      </c>
      <c r="D283" s="21">
        <v>2005</v>
      </c>
      <c r="E283" s="21" t="s">
        <v>928</v>
      </c>
      <c r="F283" s="21" t="s">
        <v>2131</v>
      </c>
      <c r="G283" s="21" t="str">
        <f>HYPERLINK("http://dx.doi.org/10.1016/j.foreco.2004.10.030","http://dx.doi.org/10.1016/j.foreco.2004.10.030")</f>
        <v>http://dx.doi.org/10.1016/j.foreco.2004.10.030</v>
      </c>
      <c r="H283" s="21" t="s">
        <v>2826</v>
      </c>
      <c r="I283" s="21" t="s">
        <v>2833</v>
      </c>
      <c r="J283" s="21" t="s">
        <v>2827</v>
      </c>
      <c r="K283" s="20" t="s">
        <v>0</v>
      </c>
    </row>
    <row r="284" spans="1:11" x14ac:dyDescent="0.2">
      <c r="A284" s="30" t="s">
        <v>2821</v>
      </c>
      <c r="B284" s="21" t="s">
        <v>139</v>
      </c>
      <c r="C284" s="21" t="s">
        <v>140</v>
      </c>
      <c r="D284" s="21">
        <v>2019</v>
      </c>
      <c r="E284" s="21" t="s">
        <v>929</v>
      </c>
      <c r="F284" s="21" t="s">
        <v>141</v>
      </c>
      <c r="G284" s="21" t="str">
        <f>HYPERLINK("http://dx.doi.org/10.1007/s13762-019-02371-x","http://dx.doi.org/10.1007/s13762-019-02371-x")</f>
        <v>http://dx.doi.org/10.1007/s13762-019-02371-x</v>
      </c>
      <c r="H284" s="21" t="s">
        <v>2826</v>
      </c>
      <c r="I284" s="21" t="s">
        <v>2832</v>
      </c>
      <c r="J284" s="21" t="s">
        <v>2213</v>
      </c>
      <c r="K284" s="20" t="s">
        <v>0</v>
      </c>
    </row>
    <row r="285" spans="1:11" x14ac:dyDescent="0.2">
      <c r="A285" s="30" t="s">
        <v>2821</v>
      </c>
      <c r="B285" s="21" t="s">
        <v>350</v>
      </c>
      <c r="C285" s="21" t="s">
        <v>4</v>
      </c>
      <c r="D285" s="21">
        <v>2023</v>
      </c>
      <c r="E285" s="21" t="s">
        <v>928</v>
      </c>
      <c r="F285" s="21" t="s">
        <v>213</v>
      </c>
      <c r="G285" s="21" t="str">
        <f>HYPERLINK("http://dx.doi.org/10.1016/j.resconrec.2023.106998","http://dx.doi.org/10.1016/j.resconrec.2023.106998")</f>
        <v>http://dx.doi.org/10.1016/j.resconrec.2023.106998</v>
      </c>
      <c r="H285" s="21" t="s">
        <v>2826</v>
      </c>
      <c r="I285" s="21" t="s">
        <v>2835</v>
      </c>
      <c r="J285" s="21" t="s">
        <v>2219</v>
      </c>
      <c r="K285" s="20" t="s">
        <v>0</v>
      </c>
    </row>
    <row r="286" spans="1:11" x14ac:dyDescent="0.2">
      <c r="A286" s="30" t="s">
        <v>1569</v>
      </c>
      <c r="B286" s="21" t="s">
        <v>1859</v>
      </c>
      <c r="C286" s="21" t="s">
        <v>1363</v>
      </c>
      <c r="D286" s="21">
        <v>2017</v>
      </c>
      <c r="E286" s="21" t="s">
        <v>931</v>
      </c>
      <c r="F286" s="21" t="s">
        <v>181</v>
      </c>
      <c r="G286" s="21" t="str">
        <f>HYPERLINK("http://dx.doi.org/10.1016/j.buildenv.2017.03.012","http://dx.doi.org/10.1016/j.buildenv.2017.03.012")</f>
        <v>http://dx.doi.org/10.1016/j.buildenv.2017.03.012</v>
      </c>
      <c r="H286" s="21" t="s">
        <v>2826</v>
      </c>
      <c r="I286" s="21" t="s">
        <v>2835</v>
      </c>
      <c r="J286" s="21" t="s">
        <v>2214</v>
      </c>
      <c r="K286" s="20" t="s">
        <v>0</v>
      </c>
    </row>
    <row r="287" spans="1:11" x14ac:dyDescent="0.2">
      <c r="A287" s="30" t="s">
        <v>2821</v>
      </c>
      <c r="B287" s="21" t="s">
        <v>568</v>
      </c>
      <c r="C287" s="21" t="s">
        <v>569</v>
      </c>
      <c r="D287" s="21">
        <v>2011</v>
      </c>
      <c r="E287" s="21" t="s">
        <v>929</v>
      </c>
      <c r="F287" s="21" t="s">
        <v>570</v>
      </c>
      <c r="G287" s="21" t="str">
        <f>HYPERLINK("http://dx.doi.org/10.1007/s00436-010-2127-0","http://dx.doi.org/10.1007/s00436-010-2127-0")</f>
        <v>http://dx.doi.org/10.1007/s00436-010-2127-0</v>
      </c>
      <c r="H287" s="21" t="s">
        <v>2826</v>
      </c>
      <c r="I287" s="21" t="s">
        <v>2836</v>
      </c>
      <c r="J287" s="21" t="s">
        <v>2830</v>
      </c>
      <c r="K287" s="20" t="s">
        <v>0</v>
      </c>
    </row>
    <row r="288" spans="1:11" x14ac:dyDescent="0.2">
      <c r="A288" s="30" t="s">
        <v>1569</v>
      </c>
      <c r="B288" s="21" t="s">
        <v>2039</v>
      </c>
      <c r="C288" s="21" t="s">
        <v>1364</v>
      </c>
      <c r="D288" s="21">
        <v>2013</v>
      </c>
      <c r="E288" s="21" t="s">
        <v>931</v>
      </c>
      <c r="F288" s="21" t="s">
        <v>228</v>
      </c>
      <c r="G288" s="21" t="str">
        <f>HYPERLINK("http://dx.doi.org/10.1016/j.biombioe.2013.08.005","http://dx.doi.org/10.1016/j.biombioe.2013.08.005")</f>
        <v>http://dx.doi.org/10.1016/j.biombioe.2013.08.005</v>
      </c>
      <c r="H288" s="21" t="s">
        <v>2825</v>
      </c>
      <c r="I288" s="21" t="s">
        <v>2832</v>
      </c>
      <c r="J288" s="21" t="s">
        <v>2884</v>
      </c>
      <c r="K288" s="20" t="s">
        <v>0</v>
      </c>
    </row>
    <row r="289" spans="1:11" x14ac:dyDescent="0.2">
      <c r="A289" s="30" t="s">
        <v>2820</v>
      </c>
      <c r="B289" s="21" t="s">
        <v>1273</v>
      </c>
      <c r="C289" s="21" t="s">
        <v>100</v>
      </c>
      <c r="D289" s="21">
        <v>2017</v>
      </c>
      <c r="E289" s="21" t="s">
        <v>953</v>
      </c>
      <c r="F289" s="21" t="s">
        <v>294</v>
      </c>
      <c r="G289" s="21" t="str">
        <f>HYPERLINK("http://dx.doi.org/10.1088/1748-9326/aa6047","http://dx.doi.org/10.1088/1748-9326/aa6047")</f>
        <v>http://dx.doi.org/10.1088/1748-9326/aa6047</v>
      </c>
      <c r="H289" s="21" t="s">
        <v>1230</v>
      </c>
      <c r="I289" s="21" t="s">
        <v>2262</v>
      </c>
      <c r="J289" s="21" t="s">
        <v>2262</v>
      </c>
      <c r="K289" s="20" t="s">
        <v>0</v>
      </c>
    </row>
    <row r="290" spans="1:11" x14ac:dyDescent="0.2">
      <c r="A290" s="30" t="s">
        <v>2821</v>
      </c>
      <c r="B290" s="21" t="s">
        <v>881</v>
      </c>
      <c r="C290" s="21" t="s">
        <v>882</v>
      </c>
      <c r="D290" s="21">
        <v>2020</v>
      </c>
      <c r="E290" s="21" t="s">
        <v>933</v>
      </c>
      <c r="F290" s="21" t="s">
        <v>883</v>
      </c>
      <c r="G290" s="21" t="str">
        <f>HYPERLINK("http://dx.doi.org/10.1038/s41565-020-0706-5","http://dx.doi.org/10.1038/s41565-020-0706-5")</f>
        <v>http://dx.doi.org/10.1038/s41565-020-0706-5</v>
      </c>
      <c r="H290" s="21" t="s">
        <v>2826</v>
      </c>
      <c r="I290" s="21" t="s">
        <v>2834</v>
      </c>
      <c r="J290" s="21" t="s">
        <v>2208</v>
      </c>
      <c r="K290" s="20" t="s">
        <v>0</v>
      </c>
    </row>
    <row r="291" spans="1:11" x14ac:dyDescent="0.2">
      <c r="A291" s="30" t="s">
        <v>2821</v>
      </c>
      <c r="B291" s="21" t="s">
        <v>746</v>
      </c>
      <c r="C291" s="21" t="s">
        <v>747</v>
      </c>
      <c r="D291" s="21">
        <v>2018</v>
      </c>
      <c r="E291" s="21" t="s">
        <v>1026</v>
      </c>
      <c r="F291" s="21" t="s">
        <v>748</v>
      </c>
      <c r="G291" s="21" t="str">
        <f>HYPERLINK("http://dx.doi.org/10.1186/s13058-018-0974-2","http://dx.doi.org/10.1186/s13058-018-0974-2")</f>
        <v>http://dx.doi.org/10.1186/s13058-018-0974-2</v>
      </c>
      <c r="H291" s="21" t="s">
        <v>2826</v>
      </c>
      <c r="I291" s="21" t="s">
        <v>2836</v>
      </c>
      <c r="J291" s="21" t="s">
        <v>2830</v>
      </c>
      <c r="K291" s="20" t="s">
        <v>0</v>
      </c>
    </row>
    <row r="292" spans="1:11" x14ac:dyDescent="0.2">
      <c r="A292" s="30" t="s">
        <v>1569</v>
      </c>
      <c r="B292" s="21" t="s">
        <v>1266</v>
      </c>
      <c r="C292" s="21" t="s">
        <v>1267</v>
      </c>
      <c r="D292" s="21">
        <v>2018</v>
      </c>
      <c r="E292" s="21" t="s">
        <v>931</v>
      </c>
      <c r="F292" s="21" t="s">
        <v>306</v>
      </c>
      <c r="G292" s="21" t="str">
        <f>HYPERLINK("http://dx.doi.org/10.1016/j.rser.2018.06.027","http://dx.doi.org/10.1016/j.rser.2018.06.027")</f>
        <v>http://dx.doi.org/10.1016/j.rser.2018.06.027</v>
      </c>
      <c r="H292" s="21" t="s">
        <v>2826</v>
      </c>
      <c r="I292" s="21" t="s">
        <v>2835</v>
      </c>
      <c r="J292" s="21" t="s">
        <v>2218</v>
      </c>
      <c r="K292" s="20" t="s">
        <v>0</v>
      </c>
    </row>
    <row r="293" spans="1:11" x14ac:dyDescent="0.2">
      <c r="A293" s="30" t="s">
        <v>2821</v>
      </c>
      <c r="B293" s="21" t="s">
        <v>973</v>
      </c>
      <c r="C293" s="21" t="s">
        <v>974</v>
      </c>
      <c r="D293" s="21">
        <v>2024</v>
      </c>
      <c r="E293" s="21" t="s">
        <v>923</v>
      </c>
      <c r="F293" s="21" t="s">
        <v>127</v>
      </c>
      <c r="G293" s="21" t="str">
        <f>HYPERLINK("http://dx.doi.org/10.1111/jiec.13527","http://dx.doi.org/10.1111/jiec.13527")</f>
        <v>http://dx.doi.org/10.1111/jiec.13527</v>
      </c>
      <c r="H293" s="21" t="s">
        <v>1230</v>
      </c>
      <c r="I293" s="21" t="s">
        <v>2262</v>
      </c>
      <c r="J293" s="21" t="s">
        <v>2262</v>
      </c>
      <c r="K293" s="20" t="s">
        <v>0</v>
      </c>
    </row>
    <row r="294" spans="1:11" x14ac:dyDescent="0.2">
      <c r="A294" s="30" t="s">
        <v>1569</v>
      </c>
      <c r="B294" s="21" t="s">
        <v>2077</v>
      </c>
      <c r="C294" s="21" t="s">
        <v>1365</v>
      </c>
      <c r="D294" s="21">
        <v>2011</v>
      </c>
      <c r="E294" s="21" t="s">
        <v>964</v>
      </c>
      <c r="F294" s="21" t="s">
        <v>2078</v>
      </c>
      <c r="G294" s="21" t="str">
        <f>HYPERLINK("http://dx.doi.org/10.1016/j.techfore.2010.09.004","http://dx.doi.org/10.1016/j.techfore.2010.09.004")</f>
        <v>http://dx.doi.org/10.1016/j.techfore.2010.09.004</v>
      </c>
      <c r="H294" s="21" t="s">
        <v>2825</v>
      </c>
      <c r="I294" s="21" t="s">
        <v>2900</v>
      </c>
      <c r="J294" s="21" t="s">
        <v>2828</v>
      </c>
      <c r="K294" s="20" t="s">
        <v>0</v>
      </c>
    </row>
    <row r="295" spans="1:11" x14ac:dyDescent="0.2">
      <c r="A295" s="30" t="s">
        <v>2821</v>
      </c>
      <c r="B295" s="21" t="s">
        <v>799</v>
      </c>
      <c r="C295" s="21" t="s">
        <v>800</v>
      </c>
      <c r="D295" s="21">
        <v>2018</v>
      </c>
      <c r="E295" s="21" t="s">
        <v>923</v>
      </c>
      <c r="F295" s="21" t="s">
        <v>792</v>
      </c>
      <c r="G295" s="21" t="str">
        <f>HYPERLINK("http://dx.doi.org/10.1111/add.14053","http://dx.doi.org/10.1111/add.14053")</f>
        <v>http://dx.doi.org/10.1111/add.14053</v>
      </c>
      <c r="H295" s="21" t="s">
        <v>2826</v>
      </c>
      <c r="I295" s="21" t="s">
        <v>2836</v>
      </c>
      <c r="J295" s="21" t="s">
        <v>2830</v>
      </c>
      <c r="K295" s="20" t="s">
        <v>0</v>
      </c>
    </row>
    <row r="296" spans="1:11" x14ac:dyDescent="0.2">
      <c r="A296" s="30" t="s">
        <v>1569</v>
      </c>
      <c r="B296" s="21" t="s">
        <v>1210</v>
      </c>
      <c r="C296" s="21" t="s">
        <v>36</v>
      </c>
      <c r="D296" s="21">
        <v>2019</v>
      </c>
      <c r="E296" s="21" t="s">
        <v>41</v>
      </c>
      <c r="F296" s="21" t="s">
        <v>54</v>
      </c>
      <c r="G296" s="21" t="str">
        <f>HYPERLINK("http://dx.doi.org/10.3390/su11226332","http://dx.doi.org/10.3390/su11226332")</f>
        <v>http://dx.doi.org/10.3390/su11226332</v>
      </c>
      <c r="H296" s="21" t="s">
        <v>2825</v>
      </c>
      <c r="I296" s="21" t="s">
        <v>2833</v>
      </c>
      <c r="J296" s="21" t="s">
        <v>2827</v>
      </c>
      <c r="K296" s="20" t="s">
        <v>0</v>
      </c>
    </row>
    <row r="297" spans="1:11" x14ac:dyDescent="0.2">
      <c r="A297" s="30" t="s">
        <v>2821</v>
      </c>
      <c r="B297" s="21" t="s">
        <v>281</v>
      </c>
      <c r="C297" s="21" t="s">
        <v>282</v>
      </c>
      <c r="D297" s="21">
        <v>2018</v>
      </c>
      <c r="E297" s="21" t="s">
        <v>926</v>
      </c>
      <c r="F297" s="21" t="s">
        <v>209</v>
      </c>
      <c r="G297" s="21" t="str">
        <f>HYPERLINK("http://dx.doi.org/10.1007/s11367-015-0894-7","http://dx.doi.org/10.1007/s11367-015-0894-7")</f>
        <v>http://dx.doi.org/10.1007/s11367-015-0894-7</v>
      </c>
      <c r="H297" s="21" t="s">
        <v>2826</v>
      </c>
      <c r="I297" s="21" t="s">
        <v>2900</v>
      </c>
      <c r="J297" s="21" t="s">
        <v>2828</v>
      </c>
      <c r="K297" s="20" t="s">
        <v>0</v>
      </c>
    </row>
    <row r="298" spans="1:11" x14ac:dyDescent="0.2">
      <c r="A298" s="30" t="s">
        <v>1569</v>
      </c>
      <c r="B298" s="21" t="s">
        <v>1707</v>
      </c>
      <c r="C298" s="21"/>
      <c r="D298" s="21">
        <v>2019</v>
      </c>
      <c r="E298" s="21" t="s">
        <v>930</v>
      </c>
      <c r="F298" s="21" t="s">
        <v>857</v>
      </c>
      <c r="G298" s="21" t="str">
        <f>HYPERLINK("http://dx.doi.org/10.1039/c9ra02720c","http://dx.doi.org/10.1039/c9ra02720c")</f>
        <v>http://dx.doi.org/10.1039/c9ra02720c</v>
      </c>
      <c r="H298" s="21" t="s">
        <v>2826</v>
      </c>
      <c r="I298" s="21" t="s">
        <v>2835</v>
      </c>
      <c r="J298" s="21" t="s">
        <v>2218</v>
      </c>
      <c r="K298" s="20" t="s">
        <v>0</v>
      </c>
    </row>
    <row r="299" spans="1:11" x14ac:dyDescent="0.2">
      <c r="A299" s="30" t="s">
        <v>2821</v>
      </c>
      <c r="B299" s="21" t="s">
        <v>270</v>
      </c>
      <c r="C299" s="21" t="s">
        <v>935</v>
      </c>
      <c r="D299" s="21">
        <v>2016</v>
      </c>
      <c r="E299" s="21" t="s">
        <v>925</v>
      </c>
      <c r="F299" s="21" t="s">
        <v>167</v>
      </c>
      <c r="G299" s="21" t="str">
        <f>HYPERLINK("http://dx.doi.org/10.1016/j.apenergy.2015.10.043","http://dx.doi.org/10.1016/j.apenergy.2015.10.043")</f>
        <v>http://dx.doi.org/10.1016/j.apenergy.2015.10.043</v>
      </c>
      <c r="H299" s="21" t="s">
        <v>2826</v>
      </c>
      <c r="I299" s="21" t="s">
        <v>2835</v>
      </c>
      <c r="J299" s="21" t="s">
        <v>2218</v>
      </c>
      <c r="K299" s="20" t="s">
        <v>0</v>
      </c>
    </row>
    <row r="300" spans="1:11" x14ac:dyDescent="0.2">
      <c r="A300" s="30" t="s">
        <v>2821</v>
      </c>
      <c r="B300" s="21" t="s">
        <v>270</v>
      </c>
      <c r="C300" s="21" t="s">
        <v>271</v>
      </c>
      <c r="D300" s="21">
        <v>2018</v>
      </c>
      <c r="E300" s="21" t="s">
        <v>925</v>
      </c>
      <c r="F300" s="21" t="s">
        <v>272</v>
      </c>
      <c r="G300" s="21" t="str">
        <f>HYPERLINK("http://dx.doi.org/10.1016/j.biortech.2018.04.090","http://dx.doi.org/10.1016/j.biortech.2018.04.090")</f>
        <v>http://dx.doi.org/10.1016/j.biortech.2018.04.090</v>
      </c>
      <c r="H300" s="21" t="s">
        <v>2826</v>
      </c>
      <c r="I300" s="21" t="s">
        <v>2832</v>
      </c>
      <c r="J300" s="21" t="s">
        <v>2829</v>
      </c>
      <c r="K300" s="20" t="s">
        <v>0</v>
      </c>
    </row>
    <row r="301" spans="1:11" x14ac:dyDescent="0.2">
      <c r="A301" s="30" t="s">
        <v>2821</v>
      </c>
      <c r="B301" s="21" t="s">
        <v>525</v>
      </c>
      <c r="C301" s="21" t="s">
        <v>526</v>
      </c>
      <c r="D301" s="21">
        <v>2016</v>
      </c>
      <c r="E301" s="21" t="s">
        <v>948</v>
      </c>
      <c r="F301" s="21" t="s">
        <v>527</v>
      </c>
      <c r="G301" s="21" t="str">
        <f>HYPERLINK("http://dx.doi.org/10.1108/BEPAM-09-2014-0045","http://dx.doi.org/10.1108/BEPAM-09-2014-0045")</f>
        <v>http://dx.doi.org/10.1108/BEPAM-09-2014-0045</v>
      </c>
      <c r="H301" s="21" t="s">
        <v>2826</v>
      </c>
      <c r="I301" s="21" t="s">
        <v>2833</v>
      </c>
      <c r="J301" s="21" t="s">
        <v>2827</v>
      </c>
      <c r="K301" s="20" t="s">
        <v>0</v>
      </c>
    </row>
    <row r="302" spans="1:11" x14ac:dyDescent="0.2">
      <c r="A302" s="30" t="s">
        <v>1569</v>
      </c>
      <c r="B302" s="21" t="s">
        <v>2103</v>
      </c>
      <c r="C302" s="21" t="s">
        <v>1665</v>
      </c>
      <c r="D302" s="21">
        <v>2008</v>
      </c>
      <c r="E302" s="21" t="s">
        <v>924</v>
      </c>
      <c r="F302" s="21" t="s">
        <v>357</v>
      </c>
      <c r="G302" s="21" t="str">
        <f>HYPERLINK("http://dx.doi.org/10.1021/es702740f","http://dx.doi.org/10.1021/es702740f")</f>
        <v>http://dx.doi.org/10.1021/es702740f</v>
      </c>
      <c r="H302" s="21" t="s">
        <v>2826</v>
      </c>
      <c r="I302" s="21" t="s">
        <v>2835</v>
      </c>
      <c r="J302" s="21" t="s">
        <v>2218</v>
      </c>
      <c r="K302" s="20" t="s">
        <v>0</v>
      </c>
    </row>
    <row r="303" spans="1:11" x14ac:dyDescent="0.2">
      <c r="A303" s="30" t="s">
        <v>2821</v>
      </c>
      <c r="B303" s="21" t="s">
        <v>801</v>
      </c>
      <c r="C303" s="21" t="s">
        <v>802</v>
      </c>
      <c r="D303" s="21">
        <v>2018</v>
      </c>
      <c r="E303" s="21" t="s">
        <v>1026</v>
      </c>
      <c r="F303" s="21" t="s">
        <v>803</v>
      </c>
      <c r="G303" s="21" t="str">
        <f>HYPERLINK("http://dx.doi.org/10.1186/s13012-017-0700-y","http://dx.doi.org/10.1186/s13012-017-0700-y")</f>
        <v>http://dx.doi.org/10.1186/s13012-017-0700-y</v>
      </c>
      <c r="H303" s="21" t="s">
        <v>2826</v>
      </c>
      <c r="I303" s="21" t="s">
        <v>2836</v>
      </c>
      <c r="J303" s="21" t="s">
        <v>2830</v>
      </c>
      <c r="K303" s="20" t="s">
        <v>0</v>
      </c>
    </row>
    <row r="304" spans="1:11" x14ac:dyDescent="0.2">
      <c r="A304" s="30" t="s">
        <v>1569</v>
      </c>
      <c r="B304" s="21" t="s">
        <v>2064</v>
      </c>
      <c r="C304" s="21" t="s">
        <v>1366</v>
      </c>
      <c r="D304" s="21">
        <v>2012</v>
      </c>
      <c r="E304" s="21" t="s">
        <v>925</v>
      </c>
      <c r="F304" s="21" t="s">
        <v>1846</v>
      </c>
      <c r="G304" s="21" t="str">
        <f>HYPERLINK("http://dx.doi.org/10.1016/j.agsy.2012.01.002","http://dx.doi.org/10.1016/j.agsy.2012.01.002")</f>
        <v>http://dx.doi.org/10.1016/j.agsy.2012.01.002</v>
      </c>
      <c r="H304" s="21" t="s">
        <v>2826</v>
      </c>
      <c r="I304" s="21" t="s">
        <v>2834</v>
      </c>
      <c r="J304" s="21" t="s">
        <v>2208</v>
      </c>
      <c r="K304" s="20" t="s">
        <v>0</v>
      </c>
    </row>
    <row r="305" spans="1:11" x14ac:dyDescent="0.2">
      <c r="A305" s="30" t="s">
        <v>2821</v>
      </c>
      <c r="B305" s="21" t="s">
        <v>520</v>
      </c>
      <c r="C305" s="21" t="s">
        <v>521</v>
      </c>
      <c r="D305" s="21">
        <v>2022</v>
      </c>
      <c r="E305" s="21" t="s">
        <v>931</v>
      </c>
      <c r="F305" s="21" t="s">
        <v>306</v>
      </c>
      <c r="G305" s="21" t="str">
        <f>HYPERLINK("http://dx.doi.org/10.1016/j.rser.2022.112208","http://dx.doi.org/10.1016/j.rser.2022.112208")</f>
        <v>http://dx.doi.org/10.1016/j.rser.2022.112208</v>
      </c>
      <c r="H305" s="21" t="s">
        <v>2826</v>
      </c>
      <c r="I305" s="21" t="s">
        <v>2900</v>
      </c>
      <c r="J305" s="21" t="s">
        <v>2828</v>
      </c>
      <c r="K305" s="20" t="s">
        <v>0</v>
      </c>
    </row>
    <row r="306" spans="1:11" x14ac:dyDescent="0.2">
      <c r="A306" s="30" t="s">
        <v>1569</v>
      </c>
      <c r="B306" s="21" t="s">
        <v>1976</v>
      </c>
      <c r="C306" s="21" t="s">
        <v>1367</v>
      </c>
      <c r="D306" s="21">
        <v>2015</v>
      </c>
      <c r="E306" s="21" t="s">
        <v>991</v>
      </c>
      <c r="F306" s="21" t="s">
        <v>1977</v>
      </c>
      <c r="G306" s="21" t="str">
        <f>HYPERLINK("http://dx.doi.org/10.1080/10962247.2015.1010751","http://dx.doi.org/10.1080/10962247.2015.1010751")</f>
        <v>http://dx.doi.org/10.1080/10962247.2015.1010751</v>
      </c>
      <c r="H306" s="21" t="s">
        <v>2826</v>
      </c>
      <c r="I306" s="21" t="s">
        <v>2832</v>
      </c>
      <c r="J306" s="21" t="s">
        <v>2847</v>
      </c>
      <c r="K306" s="20" t="s">
        <v>0</v>
      </c>
    </row>
    <row r="307" spans="1:11" x14ac:dyDescent="0.2">
      <c r="A307" s="30" t="s">
        <v>2821</v>
      </c>
      <c r="B307" s="21" t="s">
        <v>706</v>
      </c>
      <c r="C307" s="21" t="s">
        <v>707</v>
      </c>
      <c r="D307" s="21">
        <v>2017</v>
      </c>
      <c r="E307" s="21" t="s">
        <v>996</v>
      </c>
      <c r="F307" s="21" t="s">
        <v>708</v>
      </c>
      <c r="G307" s="21" t="str">
        <f>HYPERLINK("http://dx.doi.org/10.1177/2050312117736228","http://dx.doi.org/10.1177/2050312117736228")</f>
        <v>http://dx.doi.org/10.1177/2050312117736228</v>
      </c>
      <c r="H307" s="21" t="s">
        <v>2826</v>
      </c>
      <c r="I307" s="21" t="s">
        <v>2836</v>
      </c>
      <c r="J307" s="21" t="s">
        <v>2830</v>
      </c>
      <c r="K307" s="20" t="s">
        <v>0</v>
      </c>
    </row>
    <row r="308" spans="1:11" x14ac:dyDescent="0.2">
      <c r="A308" s="30" t="s">
        <v>1569</v>
      </c>
      <c r="B308" s="21" t="s">
        <v>2048</v>
      </c>
      <c r="C308" s="21" t="s">
        <v>1368</v>
      </c>
      <c r="D308" s="21">
        <v>2013</v>
      </c>
      <c r="E308" s="21" t="s">
        <v>925</v>
      </c>
      <c r="F308" s="21" t="s">
        <v>56</v>
      </c>
      <c r="G308" s="21" t="str">
        <f>HYPERLINK("http://dx.doi.org/10.1016/j.enpol.2012.12.017","http://dx.doi.org/10.1016/j.enpol.2012.12.017")</f>
        <v>http://dx.doi.org/10.1016/j.enpol.2012.12.017</v>
      </c>
      <c r="H308" s="21" t="s">
        <v>2825</v>
      </c>
      <c r="I308" s="21" t="s">
        <v>2209</v>
      </c>
      <c r="J308" s="21" t="s">
        <v>2867</v>
      </c>
      <c r="K308" s="20" t="s">
        <v>0</v>
      </c>
    </row>
    <row r="309" spans="1:11" x14ac:dyDescent="0.2">
      <c r="A309" s="30" t="s">
        <v>1569</v>
      </c>
      <c r="B309" s="21" t="s">
        <v>2048</v>
      </c>
      <c r="C309" s="21" t="s">
        <v>1369</v>
      </c>
      <c r="D309" s="21">
        <v>2011</v>
      </c>
      <c r="E309" s="21" t="s">
        <v>925</v>
      </c>
      <c r="F309" s="21" t="s">
        <v>56</v>
      </c>
      <c r="G309" s="21" t="str">
        <f>HYPERLINK("http://dx.doi.org/10.1016/j.enpol.2010.11.024","http://dx.doi.org/10.1016/j.enpol.2010.11.024")</f>
        <v>http://dx.doi.org/10.1016/j.enpol.2010.11.024</v>
      </c>
      <c r="H309" s="21" t="s">
        <v>2826</v>
      </c>
      <c r="I309" s="21" t="s">
        <v>2834</v>
      </c>
      <c r="J309" s="21" t="s">
        <v>2208</v>
      </c>
      <c r="K309" s="20" t="s">
        <v>0</v>
      </c>
    </row>
    <row r="310" spans="1:11" x14ac:dyDescent="0.2">
      <c r="A310" s="30" t="s">
        <v>2821</v>
      </c>
      <c r="B310" s="21" t="s">
        <v>725</v>
      </c>
      <c r="C310" s="21" t="s">
        <v>726</v>
      </c>
      <c r="D310" s="21">
        <v>2022</v>
      </c>
      <c r="E310" s="21" t="s">
        <v>929</v>
      </c>
      <c r="F310" s="21" t="s">
        <v>727</v>
      </c>
      <c r="G310" s="21" t="str">
        <f>HYPERLINK("http://dx.doi.org/10.1186/s12544-022-00527-4","http://dx.doi.org/10.1186/s12544-022-00527-4")</f>
        <v>http://dx.doi.org/10.1186/s12544-022-00527-4</v>
      </c>
      <c r="H310" s="21" t="s">
        <v>2826</v>
      </c>
      <c r="I310" s="21" t="s">
        <v>2836</v>
      </c>
      <c r="J310" s="21" t="s">
        <v>2830</v>
      </c>
      <c r="K310" s="20" t="s">
        <v>0</v>
      </c>
    </row>
    <row r="311" spans="1:11" x14ac:dyDescent="0.2">
      <c r="A311" s="30" t="s">
        <v>1569</v>
      </c>
      <c r="B311" s="21" t="s">
        <v>1785</v>
      </c>
      <c r="C311" s="21" t="s">
        <v>1370</v>
      </c>
      <c r="D311" s="21">
        <v>2018</v>
      </c>
      <c r="E311" s="21" t="s">
        <v>995</v>
      </c>
      <c r="F311" s="21" t="s">
        <v>197</v>
      </c>
      <c r="G311" s="21" t="str">
        <f>HYPERLINK("http://dx.doi.org/10.1016/j.scitotenv.2017.12.036","http://dx.doi.org/10.1016/j.scitotenv.2017.12.036")</f>
        <v>http://dx.doi.org/10.1016/j.scitotenv.2017.12.036</v>
      </c>
      <c r="H311" s="21" t="s">
        <v>2826</v>
      </c>
      <c r="I311" s="21" t="s">
        <v>2835</v>
      </c>
      <c r="J311" s="21" t="s">
        <v>2218</v>
      </c>
      <c r="K311" s="20" t="s">
        <v>0</v>
      </c>
    </row>
    <row r="312" spans="1:11" x14ac:dyDescent="0.2">
      <c r="A312" s="30" t="s">
        <v>1569</v>
      </c>
      <c r="B312" s="21" t="s">
        <v>1908</v>
      </c>
      <c r="C312" s="21" t="s">
        <v>1371</v>
      </c>
      <c r="D312" s="21">
        <v>2016</v>
      </c>
      <c r="E312" s="21" t="s">
        <v>928</v>
      </c>
      <c r="F312" s="21" t="s">
        <v>173</v>
      </c>
      <c r="G312" s="21" t="str">
        <f>HYPERLINK("http://dx.doi.org/10.1016/j.spc.2016.06.006","http://dx.doi.org/10.1016/j.spc.2016.06.006")</f>
        <v>http://dx.doi.org/10.1016/j.spc.2016.06.006</v>
      </c>
      <c r="H312" s="21" t="s">
        <v>2826</v>
      </c>
      <c r="I312" s="21" t="s">
        <v>2836</v>
      </c>
      <c r="J312" s="21" t="s">
        <v>2830</v>
      </c>
      <c r="K312" s="20" t="s">
        <v>0</v>
      </c>
    </row>
    <row r="313" spans="1:11" x14ac:dyDescent="0.2">
      <c r="A313" s="30" t="s">
        <v>1569</v>
      </c>
      <c r="B313" s="21" t="s">
        <v>1934</v>
      </c>
      <c r="C313" s="21" t="s">
        <v>1372</v>
      </c>
      <c r="D313" s="21">
        <v>2016</v>
      </c>
      <c r="E313" s="21" t="s">
        <v>926</v>
      </c>
      <c r="F313" s="21" t="s">
        <v>209</v>
      </c>
      <c r="G313" s="21" t="str">
        <f>HYPERLINK("http://dx.doi.org/10.1007/s11367-016-1042-8","http://dx.doi.org/10.1007/s11367-016-1042-8")</f>
        <v>http://dx.doi.org/10.1007/s11367-016-1042-8</v>
      </c>
      <c r="H313" s="21" t="s">
        <v>2826</v>
      </c>
      <c r="I313" s="21" t="s">
        <v>2835</v>
      </c>
      <c r="J313" s="21" t="s">
        <v>2218</v>
      </c>
      <c r="K313" s="20" t="s">
        <v>0</v>
      </c>
    </row>
    <row r="314" spans="1:11" x14ac:dyDescent="0.2">
      <c r="A314" s="30" t="s">
        <v>1569</v>
      </c>
      <c r="B314" s="31" t="s">
        <v>2163</v>
      </c>
      <c r="C314" s="31" t="s">
        <v>1373</v>
      </c>
      <c r="D314" s="21">
        <v>2013</v>
      </c>
      <c r="E314" s="21" t="s">
        <v>930</v>
      </c>
      <c r="F314" s="21" t="s">
        <v>469</v>
      </c>
      <c r="G314" s="21" t="str">
        <f>HYPERLINK("http://dx.doi.org/10.1039/c2gc36546d","http://dx.doi.org/10.1039/c2gc36546d")</f>
        <v>http://dx.doi.org/10.1039/c2gc36546d</v>
      </c>
      <c r="H314" s="21" t="s">
        <v>2826</v>
      </c>
      <c r="I314" s="21" t="s">
        <v>2835</v>
      </c>
      <c r="J314" s="21" t="s">
        <v>2218</v>
      </c>
      <c r="K314" s="20" t="s">
        <v>0</v>
      </c>
    </row>
    <row r="315" spans="1:11" x14ac:dyDescent="0.2">
      <c r="A315" s="30" t="s">
        <v>1569</v>
      </c>
      <c r="B315" s="21" t="s">
        <v>2034</v>
      </c>
      <c r="C315" s="21" t="s">
        <v>1374</v>
      </c>
      <c r="D315" s="21">
        <v>2014</v>
      </c>
      <c r="E315" s="21" t="s">
        <v>930</v>
      </c>
      <c r="F315" s="21" t="s">
        <v>469</v>
      </c>
      <c r="G315" s="21" t="str">
        <f>HYPERLINK("http://dx.doi.org/10.1039/c4gc01124d","http://dx.doi.org/10.1039/c4gc01124d")</f>
        <v>http://dx.doi.org/10.1039/c4gc01124d</v>
      </c>
      <c r="H315" s="21" t="s">
        <v>2826</v>
      </c>
      <c r="I315" s="21" t="s">
        <v>2835</v>
      </c>
      <c r="J315" s="21" t="s">
        <v>2218</v>
      </c>
      <c r="K315" s="20" t="s">
        <v>0</v>
      </c>
    </row>
    <row r="316" spans="1:11" x14ac:dyDescent="0.2">
      <c r="A316" s="30" t="s">
        <v>2821</v>
      </c>
      <c r="B316" s="21" t="s">
        <v>781</v>
      </c>
      <c r="C316" s="21" t="s">
        <v>782</v>
      </c>
      <c r="D316" s="21">
        <v>2024</v>
      </c>
      <c r="E316" s="21" t="s">
        <v>954</v>
      </c>
      <c r="F316" s="21" t="s">
        <v>783</v>
      </c>
      <c r="G316" s="21" t="str">
        <f>HYPERLINK("http://dx.doi.org/10.3389/fpsyt.2024.1326988","http://dx.doi.org/10.3389/fpsyt.2024.1326988")</f>
        <v>http://dx.doi.org/10.3389/fpsyt.2024.1326988</v>
      </c>
      <c r="H316" s="21" t="s">
        <v>2826</v>
      </c>
      <c r="I316" s="21" t="s">
        <v>2836</v>
      </c>
      <c r="J316" s="21" t="s">
        <v>2830</v>
      </c>
      <c r="K316" s="20" t="s">
        <v>0</v>
      </c>
    </row>
    <row r="317" spans="1:11" x14ac:dyDescent="0.2">
      <c r="A317" s="30" t="s">
        <v>2821</v>
      </c>
      <c r="B317" s="21" t="s">
        <v>875</v>
      </c>
      <c r="C317" s="21" t="s">
        <v>876</v>
      </c>
      <c r="D317" s="21">
        <v>2019</v>
      </c>
      <c r="E317" s="21" t="s">
        <v>962</v>
      </c>
      <c r="F317" s="21" t="s">
        <v>877</v>
      </c>
      <c r="G317" s="21" t="str">
        <f>HYPERLINK("http://dx.doi.org/10.1590/S1517-707620190002.0696","http://dx.doi.org/10.1590/S1517-707620190002.0696")</f>
        <v>http://dx.doi.org/10.1590/S1517-707620190002.0696</v>
      </c>
      <c r="H317" s="21" t="s">
        <v>2826</v>
      </c>
      <c r="I317" s="21" t="s">
        <v>2835</v>
      </c>
      <c r="J317" s="21" t="s">
        <v>2218</v>
      </c>
      <c r="K317" s="20" t="s">
        <v>0</v>
      </c>
    </row>
    <row r="318" spans="1:11" x14ac:dyDescent="0.2">
      <c r="A318" s="30" t="s">
        <v>1569</v>
      </c>
      <c r="B318" s="21" t="s">
        <v>1879</v>
      </c>
      <c r="C318" s="21" t="s">
        <v>1375</v>
      </c>
      <c r="D318" s="21">
        <v>2017</v>
      </c>
      <c r="E318" s="21" t="s">
        <v>926</v>
      </c>
      <c r="F318" s="21" t="s">
        <v>209</v>
      </c>
      <c r="G318" s="21" t="str">
        <f>HYPERLINK("http://dx.doi.org/10.1007/s11367-016-1149-y","http://dx.doi.org/10.1007/s11367-016-1149-y")</f>
        <v>http://dx.doi.org/10.1007/s11367-016-1149-y</v>
      </c>
      <c r="H318" s="21" t="s">
        <v>2825</v>
      </c>
      <c r="I318" s="21" t="s">
        <v>2835</v>
      </c>
      <c r="J318" s="21" t="s">
        <v>2214</v>
      </c>
      <c r="K318" s="20" t="s">
        <v>0</v>
      </c>
    </row>
    <row r="319" spans="1:11" x14ac:dyDescent="0.2">
      <c r="A319" s="30" t="s">
        <v>1569</v>
      </c>
      <c r="B319" s="21" t="s">
        <v>1750</v>
      </c>
      <c r="C319" s="21" t="s">
        <v>37</v>
      </c>
      <c r="D319" s="21">
        <v>2018</v>
      </c>
      <c r="E319" s="21" t="s">
        <v>931</v>
      </c>
      <c r="F319" s="21" t="s">
        <v>1751</v>
      </c>
      <c r="G319" s="21" t="str">
        <f>HYPERLINK("http://dx.doi.org/10.1016/j.watres.2018.08.061","http://dx.doi.org/10.1016/j.watres.2018.08.061")</f>
        <v>http://dx.doi.org/10.1016/j.watres.2018.08.061</v>
      </c>
      <c r="H319" s="21" t="s">
        <v>2826</v>
      </c>
      <c r="I319" s="21" t="s">
        <v>2835</v>
      </c>
      <c r="J319" s="21" t="s">
        <v>2219</v>
      </c>
      <c r="K319" s="20" t="s">
        <v>0</v>
      </c>
    </row>
    <row r="320" spans="1:11" x14ac:dyDescent="0.2">
      <c r="A320" s="30" t="s">
        <v>1569</v>
      </c>
      <c r="B320" s="21" t="s">
        <v>1677</v>
      </c>
      <c r="C320" s="21" t="s">
        <v>1572</v>
      </c>
      <c r="D320" s="21">
        <v>2019</v>
      </c>
      <c r="E320" s="21" t="s">
        <v>925</v>
      </c>
      <c r="F320" s="21" t="s">
        <v>144</v>
      </c>
      <c r="G320" s="21" t="str">
        <f>HYPERLINK("http://dx.doi.org/10.1016/j.jclepro.2019.117999","http://dx.doi.org/10.1016/j.jclepro.2019.117999")</f>
        <v>http://dx.doi.org/10.1016/j.jclepro.2019.117999</v>
      </c>
      <c r="H320" s="21" t="s">
        <v>2826</v>
      </c>
      <c r="I320" s="21" t="s">
        <v>2835</v>
      </c>
      <c r="J320" s="21" t="s">
        <v>2214</v>
      </c>
      <c r="K320" s="20" t="s">
        <v>0</v>
      </c>
    </row>
    <row r="321" spans="1:11" x14ac:dyDescent="0.2">
      <c r="A321" s="30" t="s">
        <v>2821</v>
      </c>
      <c r="B321" s="21" t="s">
        <v>381</v>
      </c>
      <c r="C321" s="21" t="s">
        <v>382</v>
      </c>
      <c r="D321" s="21">
        <v>2022</v>
      </c>
      <c r="E321" s="21" t="s">
        <v>929</v>
      </c>
      <c r="F321" s="21" t="s">
        <v>170</v>
      </c>
      <c r="G321" s="21" t="str">
        <f>HYPERLINK("http://dx.doi.org/10.1007/s10098-022-02407-w","http://dx.doi.org/10.1007/s10098-022-02407-w")</f>
        <v>http://dx.doi.org/10.1007/s10098-022-02407-w</v>
      </c>
      <c r="H321" s="21" t="s">
        <v>2826</v>
      </c>
      <c r="I321" s="21" t="s">
        <v>2835</v>
      </c>
      <c r="J321" s="21" t="s">
        <v>2218</v>
      </c>
      <c r="K321" s="20" t="s">
        <v>0</v>
      </c>
    </row>
    <row r="322" spans="1:11" x14ac:dyDescent="0.2">
      <c r="A322" s="30" t="s">
        <v>1569</v>
      </c>
      <c r="B322" s="21" t="s">
        <v>1766</v>
      </c>
      <c r="C322" s="21" t="s">
        <v>1623</v>
      </c>
      <c r="D322" s="21">
        <v>2018</v>
      </c>
      <c r="E322" s="21" t="s">
        <v>1767</v>
      </c>
      <c r="F322" s="21" t="s">
        <v>1768</v>
      </c>
      <c r="G322" s="21" t="str">
        <f>HYPERLINK("http://dx.doi.org/10.22382/wfs-2018-047","http://dx.doi.org/10.22382/wfs-2018-047")</f>
        <v>http://dx.doi.org/10.22382/wfs-2018-047</v>
      </c>
      <c r="H322" s="21" t="s">
        <v>2825</v>
      </c>
      <c r="I322" s="21" t="s">
        <v>2832</v>
      </c>
      <c r="J322" s="21" t="s">
        <v>2237</v>
      </c>
      <c r="K322" s="20" t="s">
        <v>0</v>
      </c>
    </row>
    <row r="323" spans="1:11" x14ac:dyDescent="0.2">
      <c r="A323" s="30" t="s">
        <v>2820</v>
      </c>
      <c r="B323" s="21" t="s">
        <v>2355</v>
      </c>
      <c r="C323" s="21" t="s">
        <v>2354</v>
      </c>
      <c r="D323" s="21">
        <v>2025</v>
      </c>
      <c r="E323" s="21" t="s">
        <v>956</v>
      </c>
      <c r="F323" s="21" t="s">
        <v>2349</v>
      </c>
      <c r="G323" s="21" t="s">
        <v>2353</v>
      </c>
      <c r="H323" s="21" t="s">
        <v>1230</v>
      </c>
      <c r="I323" s="21" t="s">
        <v>2262</v>
      </c>
      <c r="J323" s="21" t="s">
        <v>2262</v>
      </c>
      <c r="K323" s="20" t="s">
        <v>0</v>
      </c>
    </row>
    <row r="324" spans="1:11" x14ac:dyDescent="0.2">
      <c r="A324" s="30" t="s">
        <v>2820</v>
      </c>
      <c r="B324" s="21" t="s">
        <v>2325</v>
      </c>
      <c r="C324" s="21" t="s">
        <v>2326</v>
      </c>
      <c r="D324" s="21">
        <v>2025</v>
      </c>
      <c r="E324" s="21" t="s">
        <v>928</v>
      </c>
      <c r="F324" s="21" t="s">
        <v>213</v>
      </c>
      <c r="G324" s="21" t="s">
        <v>2327</v>
      </c>
      <c r="H324" s="21" t="s">
        <v>1230</v>
      </c>
      <c r="I324" s="21" t="s">
        <v>2262</v>
      </c>
      <c r="J324" s="21" t="s">
        <v>2262</v>
      </c>
      <c r="K324" s="20" t="s">
        <v>0</v>
      </c>
    </row>
    <row r="325" spans="1:11" x14ac:dyDescent="0.2">
      <c r="A325" s="30" t="s">
        <v>1569</v>
      </c>
      <c r="B325" s="21" t="s">
        <v>2076</v>
      </c>
      <c r="C325" s="21" t="s">
        <v>1659</v>
      </c>
      <c r="D325" s="21">
        <v>2011</v>
      </c>
      <c r="E325" s="21" t="s">
        <v>924</v>
      </c>
      <c r="F325" s="21" t="s">
        <v>357</v>
      </c>
      <c r="G325" s="21" t="str">
        <f>HYPERLINK("http://dx.doi.org/10.1021/es200273j","http://dx.doi.org/10.1021/es200273j")</f>
        <v>http://dx.doi.org/10.1021/es200273j</v>
      </c>
      <c r="H325" s="21" t="s">
        <v>2826</v>
      </c>
      <c r="I325" s="21" t="s">
        <v>2835</v>
      </c>
      <c r="J325" s="21" t="s">
        <v>2218</v>
      </c>
      <c r="K325" s="20" t="s">
        <v>0</v>
      </c>
    </row>
    <row r="326" spans="1:11" x14ac:dyDescent="0.2">
      <c r="A326" s="30" t="s">
        <v>1569</v>
      </c>
      <c r="B326" s="21" t="s">
        <v>1830</v>
      </c>
      <c r="C326" s="21" t="s">
        <v>1376</v>
      </c>
      <c r="D326" s="21">
        <v>2017</v>
      </c>
      <c r="E326" s="21" t="s">
        <v>931</v>
      </c>
      <c r="F326" s="21" t="s">
        <v>43</v>
      </c>
      <c r="G326" s="21" t="str">
        <f>HYPERLINK("http://dx.doi.org/10.1016/j.energy.2017.06.175","http://dx.doi.org/10.1016/j.energy.2017.06.175")</f>
        <v>http://dx.doi.org/10.1016/j.energy.2017.06.175</v>
      </c>
      <c r="H326" s="21" t="s">
        <v>2825</v>
      </c>
      <c r="I326" s="21" t="s">
        <v>2832</v>
      </c>
      <c r="J326" s="21" t="s">
        <v>2894</v>
      </c>
      <c r="K326" s="20" t="s">
        <v>0</v>
      </c>
    </row>
    <row r="327" spans="1:11" x14ac:dyDescent="0.2">
      <c r="A327" s="30" t="s">
        <v>1569</v>
      </c>
      <c r="B327" s="21" t="s">
        <v>1889</v>
      </c>
      <c r="C327" s="21" t="s">
        <v>1635</v>
      </c>
      <c r="D327" s="21">
        <v>2017</v>
      </c>
      <c r="E327" s="21" t="s">
        <v>931</v>
      </c>
      <c r="F327" s="21" t="s">
        <v>43</v>
      </c>
      <c r="G327" s="21" t="str">
        <f>HYPERLINK("http://dx.doi.org/10.1016/j.energy.2016.10.123","http://dx.doi.org/10.1016/j.energy.2016.10.123")</f>
        <v>http://dx.doi.org/10.1016/j.energy.2016.10.123</v>
      </c>
      <c r="H327" s="21" t="s">
        <v>2825</v>
      </c>
      <c r="I327" s="21" t="s">
        <v>2832</v>
      </c>
      <c r="J327" s="21" t="s">
        <v>2855</v>
      </c>
      <c r="K327" s="20" t="s">
        <v>0</v>
      </c>
    </row>
    <row r="328" spans="1:11" x14ac:dyDescent="0.2">
      <c r="A328" s="30" t="s">
        <v>2821</v>
      </c>
      <c r="B328" s="21" t="s">
        <v>847</v>
      </c>
      <c r="C328" s="21" t="s">
        <v>848</v>
      </c>
      <c r="D328" s="21">
        <v>2011</v>
      </c>
      <c r="E328" s="21" t="s">
        <v>925</v>
      </c>
      <c r="F328" s="21" t="s">
        <v>56</v>
      </c>
      <c r="G328" s="21" t="str">
        <f>HYPERLINK("http://dx.doi.org/10.1016/j.enpol.2011.02.033","http://dx.doi.org/10.1016/j.enpol.2011.02.033")</f>
        <v>http://dx.doi.org/10.1016/j.enpol.2011.02.033</v>
      </c>
      <c r="H328" s="21" t="s">
        <v>2826</v>
      </c>
      <c r="I328" s="21" t="s">
        <v>2832</v>
      </c>
      <c r="J328" s="21" t="s">
        <v>2213</v>
      </c>
      <c r="K328" s="20" t="s">
        <v>0</v>
      </c>
    </row>
    <row r="329" spans="1:11" x14ac:dyDescent="0.2">
      <c r="A329" s="30" t="s">
        <v>2821</v>
      </c>
      <c r="B329" s="21" t="s">
        <v>2309</v>
      </c>
      <c r="C329" s="21" t="s">
        <v>2310</v>
      </c>
      <c r="D329" s="21">
        <v>2025</v>
      </c>
      <c r="E329" s="21" t="s">
        <v>925</v>
      </c>
      <c r="F329" s="21" t="s">
        <v>144</v>
      </c>
      <c r="G329" s="21" t="str">
        <f>HYPERLINK("http://dx.doi.org/10.1016/j.jclepro.2025.145012","http://dx.doi.org/10.1016/j.jclepro.2025.145012")</f>
        <v>http://dx.doi.org/10.1016/j.jclepro.2025.145012</v>
      </c>
      <c r="H329" s="21" t="s">
        <v>2826</v>
      </c>
      <c r="I329" s="21" t="s">
        <v>2835</v>
      </c>
      <c r="J329" s="21" t="s">
        <v>2218</v>
      </c>
      <c r="K329" s="20" t="s">
        <v>0</v>
      </c>
    </row>
    <row r="330" spans="1:11" x14ac:dyDescent="0.2">
      <c r="A330" s="30" t="s">
        <v>2821</v>
      </c>
      <c r="B330" s="21" t="s">
        <v>740</v>
      </c>
      <c r="C330" s="21" t="s">
        <v>741</v>
      </c>
      <c r="D330" s="21">
        <v>2023</v>
      </c>
      <c r="E330" s="21" t="s">
        <v>1016</v>
      </c>
      <c r="F330" s="21" t="s">
        <v>742</v>
      </c>
      <c r="G330" s="21" t="str">
        <f>HYPERLINK("http://dx.doi.org/10.32604/iasc.2023.032030","http://dx.doi.org/10.32604/iasc.2023.032030")</f>
        <v>http://dx.doi.org/10.32604/iasc.2023.032030</v>
      </c>
      <c r="H330" s="21" t="s">
        <v>2826</v>
      </c>
      <c r="I330" s="21" t="s">
        <v>2836</v>
      </c>
      <c r="J330" s="21" t="s">
        <v>2830</v>
      </c>
      <c r="K330" s="20" t="s">
        <v>0</v>
      </c>
    </row>
    <row r="331" spans="1:11" x14ac:dyDescent="0.2">
      <c r="A331" s="30" t="s">
        <v>2821</v>
      </c>
      <c r="B331" s="21" t="s">
        <v>348</v>
      </c>
      <c r="C331" s="21" t="s">
        <v>349</v>
      </c>
      <c r="D331" s="21">
        <v>2021</v>
      </c>
      <c r="E331" s="21" t="s">
        <v>923</v>
      </c>
      <c r="F331" s="21" t="s">
        <v>127</v>
      </c>
      <c r="G331" s="21" t="str">
        <f>HYPERLINK("http://dx.doi.org/10.1111/jiec.13181","http://dx.doi.org/10.1111/jiec.13181")</f>
        <v>http://dx.doi.org/10.1111/jiec.13181</v>
      </c>
      <c r="H331" s="21" t="s">
        <v>2825</v>
      </c>
      <c r="I331" s="21" t="s">
        <v>2835</v>
      </c>
      <c r="J331" s="21" t="s">
        <v>2218</v>
      </c>
      <c r="K331" s="20" t="s">
        <v>0</v>
      </c>
    </row>
    <row r="332" spans="1:11" x14ac:dyDescent="0.2">
      <c r="A332" s="30" t="s">
        <v>2821</v>
      </c>
      <c r="B332" s="21" t="s">
        <v>1129</v>
      </c>
      <c r="C332" s="21" t="s">
        <v>8</v>
      </c>
      <c r="D332" s="21">
        <v>2024</v>
      </c>
      <c r="E332" s="21" t="s">
        <v>928</v>
      </c>
      <c r="F332" s="21" t="s">
        <v>213</v>
      </c>
      <c r="G332" s="21" t="str">
        <f>HYPERLINK("http://dx.doi.org/10.1016/j.resconrec.2024.107572","http://dx.doi.org/10.1016/j.resconrec.2024.107572")</f>
        <v>http://dx.doi.org/10.1016/j.resconrec.2024.107572</v>
      </c>
      <c r="H332" s="21" t="s">
        <v>2826</v>
      </c>
      <c r="I332" s="21" t="s">
        <v>2900</v>
      </c>
      <c r="J332" s="21" t="s">
        <v>2828</v>
      </c>
      <c r="K332" s="20" t="s">
        <v>0</v>
      </c>
    </row>
    <row r="333" spans="1:11" x14ac:dyDescent="0.2">
      <c r="A333" s="30" t="s">
        <v>1569</v>
      </c>
      <c r="B333" s="21" t="s">
        <v>1743</v>
      </c>
      <c r="C333" s="21" t="s">
        <v>1377</v>
      </c>
      <c r="D333" s="21">
        <v>2018</v>
      </c>
      <c r="E333" s="21" t="s">
        <v>931</v>
      </c>
      <c r="F333" s="21" t="s">
        <v>306</v>
      </c>
      <c r="G333" s="21" t="str">
        <f>HYPERLINK("http://dx.doi.org/10.1016/j.rser.2018.08.045","http://dx.doi.org/10.1016/j.rser.2018.08.045")</f>
        <v>http://dx.doi.org/10.1016/j.rser.2018.08.045</v>
      </c>
      <c r="H333" s="21" t="s">
        <v>2826</v>
      </c>
      <c r="I333" s="21" t="s">
        <v>2835</v>
      </c>
      <c r="J333" s="21" t="s">
        <v>2218</v>
      </c>
      <c r="K333" s="20" t="s">
        <v>0</v>
      </c>
    </row>
    <row r="334" spans="1:11" x14ac:dyDescent="0.2">
      <c r="A334" s="30" t="s">
        <v>2821</v>
      </c>
      <c r="B334" s="21" t="s">
        <v>168</v>
      </c>
      <c r="C334" s="21" t="s">
        <v>169</v>
      </c>
      <c r="D334" s="21">
        <v>2022</v>
      </c>
      <c r="E334" s="21" t="s">
        <v>929</v>
      </c>
      <c r="F334" s="21" t="s">
        <v>170</v>
      </c>
      <c r="G334" s="21" t="str">
        <f>HYPERLINK("http://dx.doi.org/10.1007/s10098-022-02402-1","http://dx.doi.org/10.1007/s10098-022-02402-1")</f>
        <v>http://dx.doi.org/10.1007/s10098-022-02402-1</v>
      </c>
      <c r="H334" s="21" t="s">
        <v>2826</v>
      </c>
      <c r="I334" s="21" t="s">
        <v>2833</v>
      </c>
      <c r="J334" s="21" t="s">
        <v>2827</v>
      </c>
      <c r="K334" s="20" t="s">
        <v>0</v>
      </c>
    </row>
    <row r="335" spans="1:11" x14ac:dyDescent="0.2">
      <c r="A335" s="30" t="s">
        <v>1569</v>
      </c>
      <c r="B335" s="21" t="s">
        <v>1697</v>
      </c>
      <c r="C335" s="21" t="s">
        <v>1584</v>
      </c>
      <c r="D335" s="21">
        <v>2019</v>
      </c>
      <c r="E335" s="21" t="s">
        <v>931</v>
      </c>
      <c r="F335" s="21" t="s">
        <v>181</v>
      </c>
      <c r="G335" s="21" t="str">
        <f>HYPERLINK("http://dx.doi.org/10.1016/j.buildenv.2019.106218","http://dx.doi.org/10.1016/j.buildenv.2019.106218")</f>
        <v>http://dx.doi.org/10.1016/j.buildenv.2019.106218</v>
      </c>
      <c r="H335" s="21" t="s">
        <v>2826</v>
      </c>
      <c r="I335" s="21" t="s">
        <v>2835</v>
      </c>
      <c r="J335" s="21" t="s">
        <v>2218</v>
      </c>
      <c r="K335" s="20" t="s">
        <v>0</v>
      </c>
    </row>
    <row r="336" spans="1:11" x14ac:dyDescent="0.2">
      <c r="A336" s="30" t="s">
        <v>2821</v>
      </c>
      <c r="B336" s="21" t="s">
        <v>369</v>
      </c>
      <c r="C336" s="21" t="s">
        <v>370</v>
      </c>
      <c r="D336" s="21">
        <v>2024</v>
      </c>
      <c r="E336" s="21" t="s">
        <v>926</v>
      </c>
      <c r="F336" s="21" t="s">
        <v>209</v>
      </c>
      <c r="G336" s="21" t="str">
        <f>HYPERLINK("http://dx.doi.org/10.1007/s11367-024-02312-y","http://dx.doi.org/10.1007/s11367-024-02312-y")</f>
        <v>http://dx.doi.org/10.1007/s11367-024-02312-y</v>
      </c>
      <c r="H336" s="21" t="s">
        <v>2826</v>
      </c>
      <c r="I336" s="21" t="s">
        <v>2833</v>
      </c>
      <c r="J336" s="21" t="s">
        <v>2827</v>
      </c>
      <c r="K336" s="20" t="s">
        <v>0</v>
      </c>
    </row>
    <row r="337" spans="1:11" x14ac:dyDescent="0.2">
      <c r="A337" s="30" t="s">
        <v>2821</v>
      </c>
      <c r="B337" s="21" t="s">
        <v>1136</v>
      </c>
      <c r="C337" s="21" t="s">
        <v>1075</v>
      </c>
      <c r="D337" s="21">
        <v>2024</v>
      </c>
      <c r="E337" s="21" t="s">
        <v>942</v>
      </c>
      <c r="F337" s="21" t="s">
        <v>1137</v>
      </c>
      <c r="G337" s="21" t="str">
        <f>HYPERLINK("http://dx.doi.org/10.1002/batt.202400100","http://dx.doi.org/10.1002/batt.202400100")</f>
        <v>http://dx.doi.org/10.1002/batt.202400100</v>
      </c>
      <c r="H337" s="21" t="s">
        <v>2826</v>
      </c>
      <c r="I337" s="21" t="s">
        <v>2900</v>
      </c>
      <c r="J337" s="21" t="s">
        <v>2828</v>
      </c>
      <c r="K337" s="20" t="s">
        <v>0</v>
      </c>
    </row>
    <row r="338" spans="1:11" x14ac:dyDescent="0.2">
      <c r="A338" s="30" t="s">
        <v>1569</v>
      </c>
      <c r="B338" s="21" t="s">
        <v>2050</v>
      </c>
      <c r="C338" s="21" t="s">
        <v>1378</v>
      </c>
      <c r="D338" s="21">
        <v>2013</v>
      </c>
      <c r="E338" s="21" t="s">
        <v>925</v>
      </c>
      <c r="F338" s="21" t="s">
        <v>2013</v>
      </c>
      <c r="G338" s="21" t="str">
        <f>HYPERLINK("http://dx.doi.org/10.1016/j.tranpol.2012.11.006","http://dx.doi.org/10.1016/j.tranpol.2012.11.006")</f>
        <v>http://dx.doi.org/10.1016/j.tranpol.2012.11.006</v>
      </c>
      <c r="H338" s="21" t="s">
        <v>2825</v>
      </c>
      <c r="I338" s="21" t="s">
        <v>2832</v>
      </c>
      <c r="J338" s="21" t="s">
        <v>2890</v>
      </c>
      <c r="K338" s="20" t="s">
        <v>0</v>
      </c>
    </row>
    <row r="339" spans="1:11" x14ac:dyDescent="0.2">
      <c r="A339" s="30" t="s">
        <v>2821</v>
      </c>
      <c r="B339" s="21" t="s">
        <v>963</v>
      </c>
      <c r="C339" s="21" t="s">
        <v>102</v>
      </c>
      <c r="D339" s="21">
        <v>2019</v>
      </c>
      <c r="E339" s="21" t="s">
        <v>923</v>
      </c>
      <c r="F339" s="21" t="s">
        <v>127</v>
      </c>
      <c r="G339" s="21" t="str">
        <f>HYPERLINK("http://dx.doi.org/10.1111/jiec.12739","http://dx.doi.org/10.1111/jiec.12739")</f>
        <v>http://dx.doi.org/10.1111/jiec.12739</v>
      </c>
      <c r="H339" s="21" t="s">
        <v>2825</v>
      </c>
      <c r="I339" s="21" t="s">
        <v>2832</v>
      </c>
      <c r="J339" s="21" t="s">
        <v>2242</v>
      </c>
      <c r="K339" s="20" t="s">
        <v>0</v>
      </c>
    </row>
    <row r="340" spans="1:11" x14ac:dyDescent="0.2">
      <c r="A340" s="30" t="s">
        <v>1569</v>
      </c>
      <c r="B340" s="21" t="s">
        <v>2015</v>
      </c>
      <c r="C340" s="21" t="s">
        <v>79</v>
      </c>
      <c r="D340" s="21">
        <v>2014</v>
      </c>
      <c r="E340" s="21" t="s">
        <v>926</v>
      </c>
      <c r="F340" s="21" t="s">
        <v>209</v>
      </c>
      <c r="G340" s="21" t="str">
        <f>HYPERLINK("http://dx.doi.org/10.1007/s11367-014-0729-y","http://dx.doi.org/10.1007/s11367-014-0729-y")</f>
        <v>http://dx.doi.org/10.1007/s11367-014-0729-y</v>
      </c>
      <c r="H340" s="21" t="s">
        <v>2826</v>
      </c>
      <c r="I340" s="21" t="s">
        <v>2836</v>
      </c>
      <c r="J340" s="21" t="s">
        <v>2830</v>
      </c>
      <c r="K340" s="20" t="s">
        <v>0</v>
      </c>
    </row>
    <row r="341" spans="1:11" x14ac:dyDescent="0.2">
      <c r="A341" s="30" t="s">
        <v>1569</v>
      </c>
      <c r="B341" s="21" t="s">
        <v>2134</v>
      </c>
      <c r="C341" s="21" t="s">
        <v>1379</v>
      </c>
      <c r="D341" s="21">
        <v>2003</v>
      </c>
      <c r="E341" s="21" t="s">
        <v>926</v>
      </c>
      <c r="F341" s="21" t="s">
        <v>209</v>
      </c>
      <c r="G341" s="21" t="str">
        <f>HYPERLINK("http://dx.doi.org/10.1065/lca2002.09.097","http://dx.doi.org/10.1065/lca2002.09.097")</f>
        <v>http://dx.doi.org/10.1065/lca2002.09.097</v>
      </c>
      <c r="H341" s="21" t="s">
        <v>2826</v>
      </c>
      <c r="I341" s="21" t="s">
        <v>2900</v>
      </c>
      <c r="J341" s="21" t="s">
        <v>2828</v>
      </c>
      <c r="K341" s="20" t="s">
        <v>0</v>
      </c>
    </row>
    <row r="342" spans="1:11" x14ac:dyDescent="0.2">
      <c r="A342" s="30" t="s">
        <v>1569</v>
      </c>
      <c r="B342" s="21" t="s">
        <v>2134</v>
      </c>
      <c r="C342" s="21" t="s">
        <v>1380</v>
      </c>
      <c r="D342" s="21">
        <v>2005</v>
      </c>
      <c r="E342" s="21" t="s">
        <v>925</v>
      </c>
      <c r="F342" s="21" t="s">
        <v>144</v>
      </c>
      <c r="G342" s="21" t="str">
        <f>HYPERLINK("http://dx.doi.org/10.1016/j.jclepro.2004.02.016","http://dx.doi.org/10.1016/j.jclepro.2004.02.016")</f>
        <v>http://dx.doi.org/10.1016/j.jclepro.2004.02.016</v>
      </c>
      <c r="H342" s="21" t="s">
        <v>2826</v>
      </c>
      <c r="I342" s="21" t="s">
        <v>2835</v>
      </c>
      <c r="J342" s="21" t="s">
        <v>2219</v>
      </c>
      <c r="K342" s="20" t="s">
        <v>0</v>
      </c>
    </row>
    <row r="343" spans="1:11" x14ac:dyDescent="0.2">
      <c r="A343" s="30" t="s">
        <v>1569</v>
      </c>
      <c r="B343" s="21" t="s">
        <v>1903</v>
      </c>
      <c r="C343" s="21" t="s">
        <v>1381</v>
      </c>
      <c r="D343" s="21">
        <v>2016</v>
      </c>
      <c r="E343" s="21" t="s">
        <v>931</v>
      </c>
      <c r="F343" s="21" t="s">
        <v>320</v>
      </c>
      <c r="G343" s="21" t="str">
        <f>HYPERLINK("http://dx.doi.org/10.1016/j.solener.2016.08.025","http://dx.doi.org/10.1016/j.solener.2016.08.025")</f>
        <v>http://dx.doi.org/10.1016/j.solener.2016.08.025</v>
      </c>
      <c r="H343" s="21" t="s">
        <v>2826</v>
      </c>
      <c r="I343" s="21" t="s">
        <v>2835</v>
      </c>
      <c r="J343" s="21" t="s">
        <v>2218</v>
      </c>
      <c r="K343" s="20" t="s">
        <v>0</v>
      </c>
    </row>
    <row r="344" spans="1:11" x14ac:dyDescent="0.2">
      <c r="A344" s="30" t="s">
        <v>1569</v>
      </c>
      <c r="B344" s="21" t="s">
        <v>1752</v>
      </c>
      <c r="C344" s="21" t="s">
        <v>1382</v>
      </c>
      <c r="D344" s="21">
        <v>2018</v>
      </c>
      <c r="E344" s="21" t="s">
        <v>928</v>
      </c>
      <c r="F344" s="21" t="s">
        <v>197</v>
      </c>
      <c r="G344" s="21" t="str">
        <f>HYPERLINK("http://dx.doi.org/10.1016/j.scitotenv.2018.05.404","http://dx.doi.org/10.1016/j.scitotenv.2018.05.404")</f>
        <v>http://dx.doi.org/10.1016/j.scitotenv.2018.05.404</v>
      </c>
      <c r="H344" s="21" t="s">
        <v>2826</v>
      </c>
      <c r="I344" s="21" t="s">
        <v>2832</v>
      </c>
      <c r="J344" s="21" t="s">
        <v>2847</v>
      </c>
      <c r="K344" s="20" t="s">
        <v>0</v>
      </c>
    </row>
    <row r="345" spans="1:11" x14ac:dyDescent="0.2">
      <c r="A345" s="30" t="s">
        <v>1569</v>
      </c>
      <c r="B345" s="21" t="s">
        <v>1678</v>
      </c>
      <c r="C345" s="21" t="s">
        <v>1573</v>
      </c>
      <c r="D345" s="21">
        <v>2019</v>
      </c>
      <c r="E345" s="21" t="s">
        <v>953</v>
      </c>
      <c r="F345" s="21" t="s">
        <v>294</v>
      </c>
      <c r="G345" s="21" t="str">
        <f>HYPERLINK("http://dx.doi.org/10.1088/1748-9326/ab4b79","http://dx.doi.org/10.1088/1748-9326/ab4b79")</f>
        <v>http://dx.doi.org/10.1088/1748-9326/ab4b79</v>
      </c>
      <c r="H345" s="21" t="s">
        <v>2825</v>
      </c>
      <c r="I345" s="21" t="s">
        <v>2832</v>
      </c>
      <c r="J345" s="21" t="s">
        <v>2234</v>
      </c>
      <c r="K345" s="20" t="s">
        <v>0</v>
      </c>
    </row>
    <row r="346" spans="1:11" x14ac:dyDescent="0.2">
      <c r="A346" s="30" t="s">
        <v>1569</v>
      </c>
      <c r="B346" s="21" t="s">
        <v>1841</v>
      </c>
      <c r="C346" s="21" t="s">
        <v>1630</v>
      </c>
      <c r="D346" s="21">
        <v>2017</v>
      </c>
      <c r="E346" s="21" t="s">
        <v>925</v>
      </c>
      <c r="F346" s="21" t="s">
        <v>144</v>
      </c>
      <c r="G346" s="21" t="str">
        <f>HYPERLINK("http://dx.doi.org/10.1016/j.jclepro.2017.06.133","http://dx.doi.org/10.1016/j.jclepro.2017.06.133")</f>
        <v>http://dx.doi.org/10.1016/j.jclepro.2017.06.133</v>
      </c>
      <c r="H346" s="21" t="s">
        <v>2825</v>
      </c>
      <c r="I346" s="21" t="s">
        <v>2832</v>
      </c>
      <c r="J346" s="21" t="s">
        <v>2856</v>
      </c>
      <c r="K346" s="20" t="s">
        <v>0</v>
      </c>
    </row>
    <row r="347" spans="1:11" x14ac:dyDescent="0.2">
      <c r="A347" s="30" t="s">
        <v>2821</v>
      </c>
      <c r="B347" s="21" t="s">
        <v>501</v>
      </c>
      <c r="C347" s="21" t="s">
        <v>502</v>
      </c>
      <c r="D347" s="21">
        <v>2001</v>
      </c>
      <c r="E347" s="21" t="s">
        <v>992</v>
      </c>
      <c r="F347" s="21" t="s">
        <v>503</v>
      </c>
      <c r="G347" s="21" t="str">
        <f>HYPERLINK("http://dx.doi.org/10.1046/j.1365-2788.2001.00367.x","http://dx.doi.org/10.1046/j.1365-2788.2001.00367.x")</f>
        <v>http://dx.doi.org/10.1046/j.1365-2788.2001.00367.x</v>
      </c>
      <c r="H347" s="21" t="s">
        <v>2826</v>
      </c>
      <c r="I347" s="21" t="s">
        <v>2836</v>
      </c>
      <c r="J347" s="21" t="s">
        <v>2830</v>
      </c>
      <c r="K347" s="20" t="s">
        <v>0</v>
      </c>
    </row>
    <row r="348" spans="1:11" x14ac:dyDescent="0.2">
      <c r="A348" s="30" t="s">
        <v>2821</v>
      </c>
      <c r="B348" s="21" t="s">
        <v>659</v>
      </c>
      <c r="C348" s="21" t="s">
        <v>660</v>
      </c>
      <c r="D348" s="21">
        <v>2018</v>
      </c>
      <c r="E348" s="21" t="s">
        <v>925</v>
      </c>
      <c r="F348" s="21" t="s">
        <v>167</v>
      </c>
      <c r="G348" s="21" t="str">
        <f>HYPERLINK("http://dx.doi.org/10.1016/j.apenergy.2018.03.188","http://dx.doi.org/10.1016/j.apenergy.2018.03.188")</f>
        <v>http://dx.doi.org/10.1016/j.apenergy.2018.03.188</v>
      </c>
      <c r="H348" s="21" t="s">
        <v>2826</v>
      </c>
      <c r="I348" s="21" t="s">
        <v>2836</v>
      </c>
      <c r="J348" s="21" t="s">
        <v>2830</v>
      </c>
      <c r="K348" s="20" t="s">
        <v>0</v>
      </c>
    </row>
    <row r="349" spans="1:11" x14ac:dyDescent="0.2">
      <c r="A349" s="30" t="s">
        <v>1569</v>
      </c>
      <c r="B349" s="21" t="s">
        <v>1674</v>
      </c>
      <c r="C349" s="21" t="s">
        <v>1593</v>
      </c>
      <c r="D349" s="21">
        <v>2019</v>
      </c>
      <c r="E349" s="21" t="s">
        <v>925</v>
      </c>
      <c r="F349" s="21" t="s">
        <v>144</v>
      </c>
      <c r="G349" s="21" t="str">
        <f>HYPERLINK("http://dx.doi.org/10.1016/j.jclepro.2019.03.022","http://dx.doi.org/10.1016/j.jclepro.2019.03.022")</f>
        <v>http://dx.doi.org/10.1016/j.jclepro.2019.03.022</v>
      </c>
      <c r="H349" s="21" t="s">
        <v>2826</v>
      </c>
      <c r="I349" s="21" t="s">
        <v>2835</v>
      </c>
      <c r="J349" s="21" t="s">
        <v>2218</v>
      </c>
      <c r="K349" s="20" t="s">
        <v>0</v>
      </c>
    </row>
    <row r="350" spans="1:11" x14ac:dyDescent="0.2">
      <c r="A350" s="30" t="s">
        <v>2821</v>
      </c>
      <c r="B350" s="21" t="s">
        <v>2296</v>
      </c>
      <c r="C350" s="21" t="s">
        <v>2298</v>
      </c>
      <c r="D350" s="21">
        <v>2025</v>
      </c>
      <c r="E350" s="21" t="s">
        <v>2299</v>
      </c>
      <c r="F350" s="21" t="s">
        <v>2300</v>
      </c>
      <c r="G350" s="21" t="str">
        <f>HYPERLINK("http://dx.doi.org/10.1007/s11109-025-10011-z","http://dx.doi.org/10.1007/s11109-025-10011-z")</f>
        <v>http://dx.doi.org/10.1007/s11109-025-10011-z</v>
      </c>
      <c r="H350" s="21" t="s">
        <v>2826</v>
      </c>
      <c r="I350" s="21" t="s">
        <v>2836</v>
      </c>
      <c r="J350" s="21" t="s">
        <v>2830</v>
      </c>
      <c r="K350" s="20" t="s">
        <v>0</v>
      </c>
    </row>
    <row r="351" spans="1:11" x14ac:dyDescent="0.2">
      <c r="A351" s="30" t="s">
        <v>2822</v>
      </c>
      <c r="B351" s="21" t="s">
        <v>1241</v>
      </c>
      <c r="C351" s="21" t="s">
        <v>32</v>
      </c>
      <c r="D351" s="21">
        <v>2015</v>
      </c>
      <c r="E351" s="21" t="s">
        <v>1000</v>
      </c>
      <c r="F351" s="21" t="s">
        <v>589</v>
      </c>
      <c r="G351" s="21" t="str">
        <f>HYPERLINK("http://dx.doi.org/10.1073/pnas.1312753111","http://dx.doi.org/10.1073/pnas.1312753111")</f>
        <v>http://dx.doi.org/10.1073/pnas.1312753111</v>
      </c>
      <c r="H351" s="21" t="s">
        <v>1230</v>
      </c>
      <c r="I351" s="21" t="s">
        <v>2262</v>
      </c>
      <c r="J351" s="21" t="s">
        <v>2262</v>
      </c>
      <c r="K351" s="20" t="s">
        <v>0</v>
      </c>
    </row>
    <row r="352" spans="1:11" x14ac:dyDescent="0.2">
      <c r="A352" s="30" t="s">
        <v>2821</v>
      </c>
      <c r="B352" s="21" t="s">
        <v>410</v>
      </c>
      <c r="C352" s="21" t="s">
        <v>411</v>
      </c>
      <c r="D352" s="21">
        <v>2017</v>
      </c>
      <c r="E352" s="21" t="s">
        <v>926</v>
      </c>
      <c r="F352" s="21" t="s">
        <v>209</v>
      </c>
      <c r="G352" s="21" t="str">
        <f>HYPERLINK("http://dx.doi.org/10.1007/s11367-016-1173-y","http://dx.doi.org/10.1007/s11367-016-1173-y")</f>
        <v>http://dx.doi.org/10.1007/s11367-016-1173-y</v>
      </c>
      <c r="H352" s="21" t="s">
        <v>2826</v>
      </c>
      <c r="I352" s="21" t="s">
        <v>2835</v>
      </c>
      <c r="J352" s="21" t="s">
        <v>2218</v>
      </c>
      <c r="K352" s="20" t="s">
        <v>0</v>
      </c>
    </row>
    <row r="353" spans="1:11" x14ac:dyDescent="0.2">
      <c r="A353" s="30" t="s">
        <v>1569</v>
      </c>
      <c r="B353" s="21" t="s">
        <v>1845</v>
      </c>
      <c r="C353" s="21" t="s">
        <v>1383</v>
      </c>
      <c r="D353" s="21">
        <v>2017</v>
      </c>
      <c r="E353" s="21" t="s">
        <v>925</v>
      </c>
      <c r="F353" s="21" t="s">
        <v>1846</v>
      </c>
      <c r="G353" s="21" t="str">
        <f>HYPERLINK("http://dx.doi.org/10.1016/j.agsy.2017.06.004","http://dx.doi.org/10.1016/j.agsy.2017.06.004")</f>
        <v>http://dx.doi.org/10.1016/j.agsy.2017.06.004</v>
      </c>
      <c r="H353" s="21" t="s">
        <v>2826</v>
      </c>
      <c r="I353" s="21" t="s">
        <v>2832</v>
      </c>
      <c r="J353" s="21" t="s">
        <v>2847</v>
      </c>
      <c r="K353" s="20" t="s">
        <v>0</v>
      </c>
    </row>
    <row r="354" spans="1:11" x14ac:dyDescent="0.2">
      <c r="A354" s="30" t="s">
        <v>2821</v>
      </c>
      <c r="B354" s="21" t="s">
        <v>1062</v>
      </c>
      <c r="C354" s="21" t="s">
        <v>1063</v>
      </c>
      <c r="D354" s="21">
        <v>2020</v>
      </c>
      <c r="E354" s="21" t="s">
        <v>925</v>
      </c>
      <c r="F354" s="21" t="s">
        <v>1064</v>
      </c>
      <c r="G354" s="21" t="str">
        <f>HYPERLINK("http://dx.doi.org/10.1016/j.ssmph.2020.100604","http://dx.doi.org/10.1016/j.ssmph.2020.100604")</f>
        <v>http://dx.doi.org/10.1016/j.ssmph.2020.100604</v>
      </c>
      <c r="H354" s="21" t="s">
        <v>2826</v>
      </c>
      <c r="I354" s="21" t="s">
        <v>2836</v>
      </c>
      <c r="J354" s="21" t="s">
        <v>2830</v>
      </c>
      <c r="K354" s="20" t="s">
        <v>0</v>
      </c>
    </row>
    <row r="355" spans="1:11" x14ac:dyDescent="0.2">
      <c r="A355" s="30" t="s">
        <v>2821</v>
      </c>
      <c r="B355" s="21" t="s">
        <v>489</v>
      </c>
      <c r="C355" s="21" t="s">
        <v>490</v>
      </c>
      <c r="D355" s="21">
        <v>2020</v>
      </c>
      <c r="E355" s="21" t="s">
        <v>41</v>
      </c>
      <c r="F355" s="21" t="s">
        <v>54</v>
      </c>
      <c r="G355" s="21" t="str">
        <f>HYPERLINK("http://dx.doi.org/10.3390/su12093896","http://dx.doi.org/10.3390/su12093896")</f>
        <v>http://dx.doi.org/10.3390/su12093896</v>
      </c>
      <c r="H355" s="21" t="s">
        <v>2826</v>
      </c>
      <c r="I355" s="21" t="s">
        <v>2834</v>
      </c>
      <c r="J355" s="21" t="s">
        <v>2208</v>
      </c>
      <c r="K355" s="20" t="s">
        <v>0</v>
      </c>
    </row>
    <row r="356" spans="1:11" x14ac:dyDescent="0.2">
      <c r="A356" s="30" t="s">
        <v>1569</v>
      </c>
      <c r="B356" s="21" t="s">
        <v>1700</v>
      </c>
      <c r="C356" s="21" t="s">
        <v>1384</v>
      </c>
      <c r="D356" s="21">
        <v>2019</v>
      </c>
      <c r="E356" s="21" t="s">
        <v>923</v>
      </c>
      <c r="F356" s="21" t="s">
        <v>127</v>
      </c>
      <c r="G356" s="21" t="str">
        <f>HYPERLINK("http://dx.doi.org/10.1111/jiec.12818","http://dx.doi.org/10.1111/jiec.12818")</f>
        <v>http://dx.doi.org/10.1111/jiec.12818</v>
      </c>
      <c r="H356" s="21" t="s">
        <v>2826</v>
      </c>
      <c r="I356" s="21" t="s">
        <v>2835</v>
      </c>
      <c r="J356" s="21" t="s">
        <v>2219</v>
      </c>
      <c r="K356" s="20" t="s">
        <v>0</v>
      </c>
    </row>
    <row r="357" spans="1:11" x14ac:dyDescent="0.2">
      <c r="A357" s="30" t="s">
        <v>1569</v>
      </c>
      <c r="B357" s="21" t="s">
        <v>1716</v>
      </c>
      <c r="C357" s="21" t="s">
        <v>1601</v>
      </c>
      <c r="D357" s="21">
        <v>2019</v>
      </c>
      <c r="E357" s="21" t="s">
        <v>924</v>
      </c>
      <c r="F357" s="21" t="s">
        <v>357</v>
      </c>
      <c r="G357" s="21" t="str">
        <f>HYPERLINK("http://dx.doi.org/10.1021/acs.est.8b06828","http://dx.doi.org/10.1021/acs.est.8b06828")</f>
        <v>http://dx.doi.org/10.1021/acs.est.8b06828</v>
      </c>
      <c r="H357" s="21" t="s">
        <v>2826</v>
      </c>
      <c r="I357" s="21" t="s">
        <v>2836</v>
      </c>
      <c r="J357" s="21" t="s">
        <v>2830</v>
      </c>
      <c r="K357" s="20" t="s">
        <v>0</v>
      </c>
    </row>
    <row r="358" spans="1:11" x14ac:dyDescent="0.2">
      <c r="A358" s="30" t="s">
        <v>2821</v>
      </c>
      <c r="B358" s="21" t="s">
        <v>773</v>
      </c>
      <c r="C358" s="21" t="s">
        <v>774</v>
      </c>
      <c r="D358" s="21">
        <v>2019</v>
      </c>
      <c r="E358" s="21" t="s">
        <v>948</v>
      </c>
      <c r="F358" s="21" t="s">
        <v>775</v>
      </c>
      <c r="G358" s="21" t="str">
        <f>HYPERLINK("http://dx.doi.org/10.1108/JHOM-10-2018-0315","http://dx.doi.org/10.1108/JHOM-10-2018-0315")</f>
        <v>http://dx.doi.org/10.1108/JHOM-10-2018-0315</v>
      </c>
      <c r="H358" s="21" t="s">
        <v>2826</v>
      </c>
      <c r="I358" s="21" t="s">
        <v>2836</v>
      </c>
      <c r="J358" s="21" t="s">
        <v>2830</v>
      </c>
      <c r="K358" s="20" t="s">
        <v>0</v>
      </c>
    </row>
    <row r="359" spans="1:11" x14ac:dyDescent="0.2">
      <c r="A359" s="30" t="s">
        <v>2821</v>
      </c>
      <c r="B359" s="21" t="s">
        <v>1007</v>
      </c>
      <c r="C359" s="21" t="s">
        <v>1008</v>
      </c>
      <c r="D359" s="21">
        <v>2022</v>
      </c>
      <c r="E359" s="21" t="s">
        <v>924</v>
      </c>
      <c r="F359" s="21" t="s">
        <v>357</v>
      </c>
      <c r="G359" s="21" t="str">
        <f>HYPERLINK("http://dx.doi.org/10.1021/acs.est.2c04002","http://dx.doi.org/10.1021/acs.est.2c04002")</f>
        <v>http://dx.doi.org/10.1021/acs.est.2c04002</v>
      </c>
      <c r="H359" s="21" t="s">
        <v>2826</v>
      </c>
      <c r="I359" s="21" t="s">
        <v>2833</v>
      </c>
      <c r="J359" s="21" t="s">
        <v>2827</v>
      </c>
      <c r="K359" s="20" t="s">
        <v>0</v>
      </c>
    </row>
    <row r="360" spans="1:11" x14ac:dyDescent="0.2">
      <c r="A360" s="30" t="s">
        <v>2821</v>
      </c>
      <c r="B360" s="21" t="s">
        <v>2331</v>
      </c>
      <c r="C360" s="21" t="s">
        <v>2335</v>
      </c>
      <c r="D360" s="21">
        <v>2025</v>
      </c>
      <c r="E360" s="21" t="s">
        <v>1039</v>
      </c>
      <c r="F360" s="21" t="s">
        <v>713</v>
      </c>
      <c r="G360" s="21" t="str">
        <f>HYPERLINK("http://dx.doi.org/10.1136/bmjopen-2024-093857","http://dx.doi.org/10.1136/bmjopen-2024-093857")</f>
        <v>http://dx.doi.org/10.1136/bmjopen-2024-093857</v>
      </c>
      <c r="H360" s="21" t="s">
        <v>2826</v>
      </c>
      <c r="I360" s="21" t="s">
        <v>2836</v>
      </c>
      <c r="J360" s="21" t="s">
        <v>2830</v>
      </c>
      <c r="K360" s="20" t="s">
        <v>0</v>
      </c>
    </row>
    <row r="361" spans="1:11" x14ac:dyDescent="0.2">
      <c r="A361" s="30" t="s">
        <v>1569</v>
      </c>
      <c r="B361" s="21" t="s">
        <v>1995</v>
      </c>
      <c r="C361" s="21" t="s">
        <v>1385</v>
      </c>
      <c r="D361" s="21">
        <v>2014</v>
      </c>
      <c r="E361" s="21" t="s">
        <v>925</v>
      </c>
      <c r="F361" s="21" t="s">
        <v>167</v>
      </c>
      <c r="G361" s="21" t="str">
        <f>HYPERLINK("http://dx.doi.org/10.1016/j.apenergy.2014.09.062","http://dx.doi.org/10.1016/j.apenergy.2014.09.062")</f>
        <v>http://dx.doi.org/10.1016/j.apenergy.2014.09.062</v>
      </c>
      <c r="H361" s="21" t="s">
        <v>2825</v>
      </c>
      <c r="I361" s="21" t="s">
        <v>2209</v>
      </c>
      <c r="J361" s="21" t="s">
        <v>2875</v>
      </c>
      <c r="K361" s="20" t="s">
        <v>0</v>
      </c>
    </row>
    <row r="362" spans="1:11" x14ac:dyDescent="0.2">
      <c r="A362" s="30" t="s">
        <v>2821</v>
      </c>
      <c r="B362" s="21" t="s">
        <v>245</v>
      </c>
      <c r="C362" s="21" t="s">
        <v>246</v>
      </c>
      <c r="D362" s="21">
        <v>2021</v>
      </c>
      <c r="E362" s="21" t="s">
        <v>931</v>
      </c>
      <c r="F362" s="21" t="s">
        <v>247</v>
      </c>
      <c r="G362" s="21" t="str">
        <f>HYPERLINK("http://dx.doi.org/10.1016/j.enconman.2021.114327","http://dx.doi.org/10.1016/j.enconman.2021.114327")</f>
        <v>http://dx.doi.org/10.1016/j.enconman.2021.114327</v>
      </c>
      <c r="H362" s="21" t="s">
        <v>2825</v>
      </c>
      <c r="I362" s="21" t="s">
        <v>2835</v>
      </c>
      <c r="J362" s="21" t="s">
        <v>2214</v>
      </c>
      <c r="K362" s="20" t="s">
        <v>0</v>
      </c>
    </row>
    <row r="363" spans="1:11" x14ac:dyDescent="0.2">
      <c r="A363" s="30" t="s">
        <v>2821</v>
      </c>
      <c r="B363" s="21" t="s">
        <v>858</v>
      </c>
      <c r="C363" s="21" t="s">
        <v>859</v>
      </c>
      <c r="D363" s="21">
        <v>2024</v>
      </c>
      <c r="E363" s="21" t="s">
        <v>934</v>
      </c>
      <c r="F363" s="21" t="s">
        <v>860</v>
      </c>
      <c r="G363" s="21" t="str">
        <f>HYPERLINK("http://dx.doi.org/10.1016/j.cej.2024.154964","http://dx.doi.org/10.1016/j.cej.2024.154964")</f>
        <v>http://dx.doi.org/10.1016/j.cej.2024.154964</v>
      </c>
      <c r="H363" s="21" t="s">
        <v>2826</v>
      </c>
      <c r="I363" s="21" t="s">
        <v>2835</v>
      </c>
      <c r="J363" s="21" t="s">
        <v>2218</v>
      </c>
      <c r="K363" s="20" t="s">
        <v>0</v>
      </c>
    </row>
    <row r="364" spans="1:11" x14ac:dyDescent="0.2">
      <c r="A364" s="30" t="s">
        <v>2820</v>
      </c>
      <c r="B364" s="21" t="s">
        <v>2316</v>
      </c>
      <c r="C364" s="21" t="s">
        <v>2318</v>
      </c>
      <c r="D364" s="21">
        <v>2025</v>
      </c>
      <c r="E364" s="21" t="s">
        <v>925</v>
      </c>
      <c r="F364" s="21" t="s">
        <v>2314</v>
      </c>
      <c r="G364" s="21" t="s">
        <v>2317</v>
      </c>
      <c r="H364" s="21" t="s">
        <v>1230</v>
      </c>
      <c r="I364" s="21" t="s">
        <v>2262</v>
      </c>
      <c r="J364" s="21" t="s">
        <v>2262</v>
      </c>
      <c r="K364" s="20" t="s">
        <v>0</v>
      </c>
    </row>
    <row r="365" spans="1:11" x14ac:dyDescent="0.2">
      <c r="A365" s="30" t="s">
        <v>2821</v>
      </c>
      <c r="B365" s="21" t="s">
        <v>428</v>
      </c>
      <c r="C365" s="21" t="s">
        <v>429</v>
      </c>
      <c r="D365" s="21">
        <v>2010</v>
      </c>
      <c r="E365" s="21" t="s">
        <v>926</v>
      </c>
      <c r="F365" s="21" t="s">
        <v>209</v>
      </c>
      <c r="G365" s="21" t="str">
        <f>HYPERLINK("http://dx.doi.org/10.1007/s11367-009-0130-4","http://dx.doi.org/10.1007/s11367-009-0130-4")</f>
        <v>http://dx.doi.org/10.1007/s11367-009-0130-4</v>
      </c>
      <c r="H365" s="21" t="s">
        <v>2826</v>
      </c>
      <c r="I365" s="21" t="s">
        <v>2900</v>
      </c>
      <c r="J365" s="21" t="s">
        <v>2828</v>
      </c>
      <c r="K365" s="20" t="s">
        <v>0</v>
      </c>
    </row>
    <row r="366" spans="1:11" x14ac:dyDescent="0.2">
      <c r="A366" s="30" t="s">
        <v>2821</v>
      </c>
      <c r="B366" s="21" t="s">
        <v>471</v>
      </c>
      <c r="C366" s="21" t="s">
        <v>472</v>
      </c>
      <c r="D366" s="21">
        <v>2020</v>
      </c>
      <c r="E366" s="21" t="s">
        <v>931</v>
      </c>
      <c r="F366" s="21" t="s">
        <v>306</v>
      </c>
      <c r="G366" s="21" t="str">
        <f>HYPERLINK("http://dx.doi.org/10.1016/j.rser.2020.109948","http://dx.doi.org/10.1016/j.rser.2020.109948")</f>
        <v>http://dx.doi.org/10.1016/j.rser.2020.109948</v>
      </c>
      <c r="H366" s="21" t="s">
        <v>2826</v>
      </c>
      <c r="I366" s="21" t="s">
        <v>2900</v>
      </c>
      <c r="J366" s="21" t="s">
        <v>2828</v>
      </c>
      <c r="K366" s="20" t="s">
        <v>0</v>
      </c>
    </row>
    <row r="367" spans="1:11" x14ac:dyDescent="0.2">
      <c r="A367" s="30" t="s">
        <v>2821</v>
      </c>
      <c r="B367" s="21" t="s">
        <v>491</v>
      </c>
      <c r="C367" s="21" t="s">
        <v>492</v>
      </c>
      <c r="D367" s="21">
        <v>2022</v>
      </c>
      <c r="E367" s="21" t="s">
        <v>923</v>
      </c>
      <c r="F367" s="21" t="s">
        <v>127</v>
      </c>
      <c r="G367" s="21" t="str">
        <f>HYPERLINK("http://dx.doi.org/10.1111/jiec.13053","http://dx.doi.org/10.1111/jiec.13053")</f>
        <v>http://dx.doi.org/10.1111/jiec.13053</v>
      </c>
      <c r="H367" s="21" t="s">
        <v>2826</v>
      </c>
      <c r="I367" s="21" t="s">
        <v>2833</v>
      </c>
      <c r="J367" s="21" t="s">
        <v>2827</v>
      </c>
      <c r="K367" s="20" t="s">
        <v>0</v>
      </c>
    </row>
    <row r="368" spans="1:11" x14ac:dyDescent="0.2">
      <c r="A368" s="30" t="s">
        <v>1569</v>
      </c>
      <c r="B368" s="21" t="s">
        <v>1827</v>
      </c>
      <c r="C368" s="21" t="s">
        <v>1386</v>
      </c>
      <c r="D368" s="21">
        <v>2017</v>
      </c>
      <c r="E368" s="21" t="s">
        <v>923</v>
      </c>
      <c r="F368" s="21" t="s">
        <v>127</v>
      </c>
      <c r="G368" s="21" t="str">
        <f>HYPERLINK("http://dx.doi.org/10.1111/jiec.12641","http://dx.doi.org/10.1111/jiec.12641")</f>
        <v>http://dx.doi.org/10.1111/jiec.12641</v>
      </c>
      <c r="H368" s="21" t="s">
        <v>2826</v>
      </c>
      <c r="I368" s="21" t="s">
        <v>2835</v>
      </c>
      <c r="J368" s="21" t="s">
        <v>2218</v>
      </c>
      <c r="K368" s="20" t="s">
        <v>0</v>
      </c>
    </row>
    <row r="369" spans="1:11" x14ac:dyDescent="0.2">
      <c r="A369" s="30" t="s">
        <v>2821</v>
      </c>
      <c r="B369" s="21" t="s">
        <v>2332</v>
      </c>
      <c r="C369" s="21" t="s">
        <v>2336</v>
      </c>
      <c r="D369" s="21">
        <v>2025</v>
      </c>
      <c r="E369" s="21" t="s">
        <v>1026</v>
      </c>
      <c r="F369" s="21" t="s">
        <v>2337</v>
      </c>
      <c r="G369" s="21" t="str">
        <f>HYPERLINK("http://dx.doi.org/10.1186/s12889-025-22253-x","http://dx.doi.org/10.1186/s12889-025-22253-x")</f>
        <v>http://dx.doi.org/10.1186/s12889-025-22253-x</v>
      </c>
      <c r="H369" s="21" t="s">
        <v>2826</v>
      </c>
      <c r="I369" s="21" t="s">
        <v>2836</v>
      </c>
      <c r="J369" s="21" t="s">
        <v>2830</v>
      </c>
      <c r="K369" s="20" t="s">
        <v>0</v>
      </c>
    </row>
    <row r="370" spans="1:11" x14ac:dyDescent="0.2">
      <c r="A370" s="30" t="s">
        <v>2821</v>
      </c>
      <c r="B370" s="21" t="s">
        <v>2246</v>
      </c>
      <c r="C370" s="21" t="s">
        <v>2247</v>
      </c>
      <c r="D370" s="21">
        <v>2024</v>
      </c>
      <c r="E370" s="21" t="s">
        <v>923</v>
      </c>
      <c r="F370" s="21" t="s">
        <v>127</v>
      </c>
      <c r="G370" s="21" t="str">
        <f>HYPERLINK("http://dx.doi.org/10.1111/jiec.13566","http://dx.doi.org/10.1111/jiec.13566")</f>
        <v>http://dx.doi.org/10.1111/jiec.13566</v>
      </c>
      <c r="H370" s="21" t="s">
        <v>2826</v>
      </c>
      <c r="I370" s="21" t="s">
        <v>2835</v>
      </c>
      <c r="J370" s="21" t="s">
        <v>2218</v>
      </c>
      <c r="K370" s="20" t="s">
        <v>0</v>
      </c>
    </row>
    <row r="371" spans="1:11" x14ac:dyDescent="0.2">
      <c r="A371" s="30" t="s">
        <v>2821</v>
      </c>
      <c r="B371" s="21" t="s">
        <v>752</v>
      </c>
      <c r="C371" s="21" t="s">
        <v>753</v>
      </c>
      <c r="D371" s="21">
        <v>2014</v>
      </c>
      <c r="E371" s="21" t="s">
        <v>1049</v>
      </c>
      <c r="F371" s="21" t="s">
        <v>754</v>
      </c>
      <c r="G371" s="21" t="str">
        <f>HYPERLINK("http://dx.doi.org/10.1160/TH13-09-0800","http://dx.doi.org/10.1160/TH13-09-0800")</f>
        <v>http://dx.doi.org/10.1160/TH13-09-0800</v>
      </c>
      <c r="H371" s="21" t="s">
        <v>2826</v>
      </c>
      <c r="I371" s="21" t="s">
        <v>2836</v>
      </c>
      <c r="J371" s="21" t="s">
        <v>2830</v>
      </c>
      <c r="K371" s="20" t="s">
        <v>0</v>
      </c>
    </row>
    <row r="372" spans="1:11" x14ac:dyDescent="0.2">
      <c r="A372" s="30" t="s">
        <v>2821</v>
      </c>
      <c r="B372" s="21" t="s">
        <v>582</v>
      </c>
      <c r="C372" s="21" t="s">
        <v>583</v>
      </c>
      <c r="D372" s="21">
        <v>2016</v>
      </c>
      <c r="E372" s="21" t="s">
        <v>931</v>
      </c>
      <c r="F372" s="21" t="s">
        <v>43</v>
      </c>
      <c r="G372" s="21" t="str">
        <f>HYPERLINK("http://dx.doi.org/10.1016/j.energy.2016.06.146","http://dx.doi.org/10.1016/j.energy.2016.06.146")</f>
        <v>http://dx.doi.org/10.1016/j.energy.2016.06.146</v>
      </c>
      <c r="H372" s="21" t="s">
        <v>2825</v>
      </c>
      <c r="I372" s="21" t="s">
        <v>2832</v>
      </c>
      <c r="J372" s="21" t="s">
        <v>2227</v>
      </c>
      <c r="K372" s="20" t="s">
        <v>0</v>
      </c>
    </row>
    <row r="373" spans="1:11" x14ac:dyDescent="0.2">
      <c r="A373" s="30" t="s">
        <v>2822</v>
      </c>
      <c r="B373" s="21" t="s">
        <v>148</v>
      </c>
      <c r="C373" s="21" t="s">
        <v>149</v>
      </c>
      <c r="D373" s="21">
        <v>2022</v>
      </c>
      <c r="E373" s="21" t="s">
        <v>923</v>
      </c>
      <c r="F373" s="21" t="s">
        <v>127</v>
      </c>
      <c r="G373" s="21" t="str">
        <f>HYPERLINK("http://dx.doi.org/10.1111/jiec.13331","http://dx.doi.org/10.1111/jiec.13331")</f>
        <v>http://dx.doi.org/10.1111/jiec.13331</v>
      </c>
      <c r="H373" s="21" t="s">
        <v>1230</v>
      </c>
      <c r="I373" s="21" t="s">
        <v>2262</v>
      </c>
      <c r="J373" s="21" t="s">
        <v>2262</v>
      </c>
      <c r="K373" s="20" t="s">
        <v>0</v>
      </c>
    </row>
    <row r="374" spans="1:11" x14ac:dyDescent="0.2">
      <c r="A374" s="30" t="s">
        <v>2822</v>
      </c>
      <c r="B374" s="21" t="s">
        <v>1231</v>
      </c>
      <c r="C374" s="21" t="s">
        <v>112</v>
      </c>
      <c r="D374" s="21">
        <v>2024</v>
      </c>
      <c r="E374" s="21" t="s">
        <v>925</v>
      </c>
      <c r="F374" s="21" t="s">
        <v>56</v>
      </c>
      <c r="G374" s="21" t="str">
        <f>HYPERLINK("http://dx.doi.org/10.1016/j.enpol.2024.114390","http://dx.doi.org/10.1016/j.enpol.2024.114390")</f>
        <v>http://dx.doi.org/10.1016/j.enpol.2024.114390</v>
      </c>
      <c r="H374" s="21" t="s">
        <v>1230</v>
      </c>
      <c r="I374" s="21" t="s">
        <v>2262</v>
      </c>
      <c r="J374" s="21" t="s">
        <v>2262</v>
      </c>
      <c r="K374" s="20" t="s">
        <v>0</v>
      </c>
    </row>
    <row r="375" spans="1:11" x14ac:dyDescent="0.2">
      <c r="A375" s="30" t="s">
        <v>1569</v>
      </c>
      <c r="B375" s="21" t="s">
        <v>1981</v>
      </c>
      <c r="C375" s="21" t="s">
        <v>1982</v>
      </c>
      <c r="D375" s="21">
        <v>2015</v>
      </c>
      <c r="E375" s="21" t="s">
        <v>931</v>
      </c>
      <c r="F375" s="21" t="s">
        <v>1983</v>
      </c>
      <c r="G375" s="21" t="str">
        <f>HYPERLINK("http://dx.doi.org/10.1016/j.atmosenv.2015.02.073","http://dx.doi.org/10.1016/j.atmosenv.2015.02.073")</f>
        <v>http://dx.doi.org/10.1016/j.atmosenv.2015.02.073</v>
      </c>
      <c r="H375" s="21" t="s">
        <v>2826</v>
      </c>
      <c r="I375" s="21" t="s">
        <v>2835</v>
      </c>
      <c r="J375" s="21" t="s">
        <v>2218</v>
      </c>
      <c r="K375" s="20" t="s">
        <v>0</v>
      </c>
    </row>
    <row r="376" spans="1:11" x14ac:dyDescent="0.2">
      <c r="A376" s="30" t="s">
        <v>2821</v>
      </c>
      <c r="B376" s="21" t="s">
        <v>1141</v>
      </c>
      <c r="C376" s="21" t="s">
        <v>1142</v>
      </c>
      <c r="D376" s="21">
        <v>2022</v>
      </c>
      <c r="E376" s="21" t="s">
        <v>954</v>
      </c>
      <c r="F376" s="21" t="s">
        <v>449</v>
      </c>
      <c r="G376" s="21" t="str">
        <f>HYPERLINK("http://dx.doi.org/10.3389/frsus.2022.629653","http://dx.doi.org/10.3389/frsus.2022.629653")</f>
        <v>http://dx.doi.org/10.3389/frsus.2022.629653</v>
      </c>
      <c r="H376" s="21" t="s">
        <v>2826</v>
      </c>
      <c r="I376" s="21" t="s">
        <v>2900</v>
      </c>
      <c r="J376" s="21" t="s">
        <v>2828</v>
      </c>
      <c r="K376" s="20" t="s">
        <v>0</v>
      </c>
    </row>
    <row r="377" spans="1:11" x14ac:dyDescent="0.2">
      <c r="A377" s="30" t="s">
        <v>1569</v>
      </c>
      <c r="B377" s="21" t="s">
        <v>1818</v>
      </c>
      <c r="C377" s="21" t="s">
        <v>1628</v>
      </c>
      <c r="D377" s="21">
        <v>2017</v>
      </c>
      <c r="E377" s="21" t="s">
        <v>931</v>
      </c>
      <c r="F377" s="21" t="s">
        <v>1751</v>
      </c>
      <c r="G377" s="21" t="str">
        <f>HYPERLINK("http://dx.doi.org/10.1016/j.watres.2017.09.016","http://dx.doi.org/10.1016/j.watres.2017.09.016")</f>
        <v>http://dx.doi.org/10.1016/j.watres.2017.09.016</v>
      </c>
      <c r="H377" s="21" t="s">
        <v>2825</v>
      </c>
      <c r="I377" s="21" t="s">
        <v>2835</v>
      </c>
      <c r="J377" s="21" t="s">
        <v>2218</v>
      </c>
      <c r="K377" s="20" t="s">
        <v>0</v>
      </c>
    </row>
    <row r="378" spans="1:11" x14ac:dyDescent="0.2">
      <c r="A378" s="30" t="s">
        <v>2821</v>
      </c>
      <c r="B378" s="21" t="s">
        <v>446</v>
      </c>
      <c r="C378" s="21" t="s">
        <v>447</v>
      </c>
      <c r="D378" s="21">
        <v>2024</v>
      </c>
      <c r="E378" s="21" t="s">
        <v>926</v>
      </c>
      <c r="F378" s="21" t="s">
        <v>209</v>
      </c>
      <c r="G378" s="21" t="str">
        <f>HYPERLINK("http://dx.doi.org/10.1007/s11367-024-02315-9","http://dx.doi.org/10.1007/s11367-024-02315-9")</f>
        <v>http://dx.doi.org/10.1007/s11367-024-02315-9</v>
      </c>
      <c r="H378" s="21" t="s">
        <v>2826</v>
      </c>
      <c r="I378" s="21" t="s">
        <v>2835</v>
      </c>
      <c r="J378" s="21" t="s">
        <v>2219</v>
      </c>
      <c r="K378" s="20" t="s">
        <v>0</v>
      </c>
    </row>
    <row r="379" spans="1:11" x14ac:dyDescent="0.2">
      <c r="A379" s="30" t="s">
        <v>2821</v>
      </c>
      <c r="B379" s="21" t="s">
        <v>517</v>
      </c>
      <c r="C379" s="21" t="s">
        <v>518</v>
      </c>
      <c r="D379" s="21">
        <v>2024</v>
      </c>
      <c r="E379" s="21" t="s">
        <v>41</v>
      </c>
      <c r="F379" s="21" t="s">
        <v>519</v>
      </c>
      <c r="G379" s="21" t="str">
        <f>HYPERLINK("http://dx.doi.org/10.3390/chemengineering8030046","http://dx.doi.org/10.3390/chemengineering8030046")</f>
        <v>http://dx.doi.org/10.3390/chemengineering8030046</v>
      </c>
      <c r="H379" s="21" t="s">
        <v>2826</v>
      </c>
      <c r="I379" s="21" t="s">
        <v>2835</v>
      </c>
      <c r="J379" s="21" t="s">
        <v>2218</v>
      </c>
      <c r="K379" s="20" t="s">
        <v>0</v>
      </c>
    </row>
    <row r="380" spans="1:11" x14ac:dyDescent="0.2">
      <c r="A380" s="30" t="s">
        <v>1569</v>
      </c>
      <c r="B380" s="21" t="s">
        <v>1786</v>
      </c>
      <c r="C380" s="21" t="s">
        <v>1387</v>
      </c>
      <c r="D380" s="21">
        <v>2018</v>
      </c>
      <c r="E380" s="21" t="s">
        <v>950</v>
      </c>
      <c r="F380" s="21" t="s">
        <v>534</v>
      </c>
      <c r="G380" s="21" t="str">
        <f>HYPERLINK("http://dx.doi.org/10.1016/j.jenvman.2018.03.012","http://dx.doi.org/10.1016/j.jenvman.2018.03.012")</f>
        <v>http://dx.doi.org/10.1016/j.jenvman.2018.03.012</v>
      </c>
      <c r="H380" s="21" t="s">
        <v>2826</v>
      </c>
      <c r="I380" s="21" t="s">
        <v>2835</v>
      </c>
      <c r="J380" s="21" t="s">
        <v>2219</v>
      </c>
      <c r="K380" s="20" t="s">
        <v>0</v>
      </c>
    </row>
    <row r="381" spans="1:11" x14ac:dyDescent="0.2">
      <c r="A381" s="30" t="s">
        <v>2821</v>
      </c>
      <c r="B381" s="21" t="s">
        <v>153</v>
      </c>
      <c r="C381" s="21" t="s">
        <v>154</v>
      </c>
      <c r="D381" s="21">
        <v>2019</v>
      </c>
      <c r="E381" s="21" t="s">
        <v>925</v>
      </c>
      <c r="F381" s="21" t="s">
        <v>144</v>
      </c>
      <c r="G381" s="21" t="str">
        <f>HYPERLINK("http://dx.doi.org/10.1016/j.jclepro.2019.01.137","http://dx.doi.org/10.1016/j.jclepro.2019.01.137")</f>
        <v>http://dx.doi.org/10.1016/j.jclepro.2019.01.137</v>
      </c>
      <c r="H381" s="21" t="s">
        <v>2825</v>
      </c>
      <c r="I381" s="21" t="s">
        <v>2832</v>
      </c>
      <c r="J381" s="21" t="s">
        <v>2884</v>
      </c>
      <c r="K381" s="20" t="s">
        <v>0</v>
      </c>
    </row>
    <row r="382" spans="1:11" x14ac:dyDescent="0.2">
      <c r="A382" s="30" t="s">
        <v>1569</v>
      </c>
      <c r="B382" s="21" t="s">
        <v>2140</v>
      </c>
      <c r="C382" s="21" t="s">
        <v>1388</v>
      </c>
      <c r="D382" s="21">
        <v>1997</v>
      </c>
      <c r="E382" s="21" t="s">
        <v>931</v>
      </c>
      <c r="F382" s="21" t="s">
        <v>247</v>
      </c>
      <c r="G382" s="21" t="str">
        <f>HYPERLINK("http://dx.doi.org/10.1016/S0196-8904(97)00004-6","http://dx.doi.org/10.1016/S0196-8904(97)00004-6")</f>
        <v>http://dx.doi.org/10.1016/S0196-8904(97)00004-6</v>
      </c>
      <c r="H382" s="21" t="s">
        <v>2825</v>
      </c>
      <c r="I382" s="21" t="s">
        <v>2833</v>
      </c>
      <c r="J382" s="21" t="s">
        <v>2827</v>
      </c>
      <c r="K382" s="20" t="s">
        <v>0</v>
      </c>
    </row>
    <row r="383" spans="1:11" x14ac:dyDescent="0.2">
      <c r="A383" s="30" t="s">
        <v>1569</v>
      </c>
      <c r="B383" s="21" t="s">
        <v>1853</v>
      </c>
      <c r="C383" s="21" t="s">
        <v>1389</v>
      </c>
      <c r="D383" s="21">
        <v>2017</v>
      </c>
      <c r="E383" s="21" t="s">
        <v>41</v>
      </c>
      <c r="F383" s="21" t="s">
        <v>90</v>
      </c>
      <c r="G383" s="21" t="str">
        <f>HYPERLINK("http://dx.doi.org/10.3390/en10070841","http://dx.doi.org/10.3390/en10070841")</f>
        <v>http://dx.doi.org/10.3390/en10070841</v>
      </c>
      <c r="H383" s="21" t="s">
        <v>2826</v>
      </c>
      <c r="I383" s="21" t="s">
        <v>2835</v>
      </c>
      <c r="J383" s="21" t="s">
        <v>2218</v>
      </c>
      <c r="K383" s="20" t="s">
        <v>0</v>
      </c>
    </row>
    <row r="384" spans="1:11" x14ac:dyDescent="0.2">
      <c r="A384" s="30" t="s">
        <v>1569</v>
      </c>
      <c r="B384" s="21" t="s">
        <v>1974</v>
      </c>
      <c r="C384" s="21" t="s">
        <v>1390</v>
      </c>
      <c r="D384" s="21">
        <v>2015</v>
      </c>
      <c r="E384" s="21" t="s">
        <v>928</v>
      </c>
      <c r="F384" s="21" t="s">
        <v>213</v>
      </c>
      <c r="G384" s="21" t="str">
        <f>HYPERLINK("http://dx.doi.org/10.1016/j.resconrec.2015.04.010","http://dx.doi.org/10.1016/j.resconrec.2015.04.010")</f>
        <v>http://dx.doi.org/10.1016/j.resconrec.2015.04.010</v>
      </c>
      <c r="H384" s="21" t="s">
        <v>2826</v>
      </c>
      <c r="I384" s="21" t="s">
        <v>2832</v>
      </c>
      <c r="J384" s="21" t="s">
        <v>2847</v>
      </c>
      <c r="K384" s="20" t="s">
        <v>0</v>
      </c>
    </row>
    <row r="385" spans="1:11" x14ac:dyDescent="0.2">
      <c r="A385" s="30" t="s">
        <v>2821</v>
      </c>
      <c r="B385" s="21" t="s">
        <v>595</v>
      </c>
      <c r="C385" s="21" t="s">
        <v>596</v>
      </c>
      <c r="D385" s="21">
        <v>2011</v>
      </c>
      <c r="E385" s="21" t="s">
        <v>1005</v>
      </c>
      <c r="F385" s="21" t="s">
        <v>597</v>
      </c>
      <c r="G385" s="21" t="str">
        <f>HYPERLINK("http://dx.doi.org/10.1603/ME10193","http://dx.doi.org/10.1603/ME10193")</f>
        <v>http://dx.doi.org/10.1603/ME10193</v>
      </c>
      <c r="H385" s="21" t="s">
        <v>2826</v>
      </c>
      <c r="I385" s="21" t="s">
        <v>2836</v>
      </c>
      <c r="J385" s="21" t="s">
        <v>2830</v>
      </c>
      <c r="K385" s="20" t="s">
        <v>0</v>
      </c>
    </row>
    <row r="386" spans="1:11" x14ac:dyDescent="0.2">
      <c r="A386" s="30" t="s">
        <v>1569</v>
      </c>
      <c r="B386" s="21" t="s">
        <v>1862</v>
      </c>
      <c r="C386" s="21" t="s">
        <v>1863</v>
      </c>
      <c r="D386" s="21">
        <v>2017</v>
      </c>
      <c r="E386" s="21" t="s">
        <v>928</v>
      </c>
      <c r="F386" s="21" t="s">
        <v>1864</v>
      </c>
      <c r="G386" s="21" t="str">
        <f>HYPERLINK("http://dx.doi.org/10.1016/j.algal.2017.01.001","http://dx.doi.org/10.1016/j.algal.2017.01.001")</f>
        <v>http://dx.doi.org/10.1016/j.algal.2017.01.001</v>
      </c>
      <c r="H386" s="21" t="s">
        <v>2826</v>
      </c>
      <c r="I386" s="21" t="s">
        <v>2835</v>
      </c>
      <c r="J386" s="21" t="s">
        <v>2219</v>
      </c>
      <c r="K386" s="20" t="s">
        <v>0</v>
      </c>
    </row>
    <row r="387" spans="1:11" x14ac:dyDescent="0.2">
      <c r="A387" s="30" t="s">
        <v>2821</v>
      </c>
      <c r="B387" s="21" t="s">
        <v>1155</v>
      </c>
      <c r="C387" s="21" t="s">
        <v>1156</v>
      </c>
      <c r="D387" s="21">
        <v>2020</v>
      </c>
      <c r="E387" s="21" t="s">
        <v>928</v>
      </c>
      <c r="F387" s="21" t="s">
        <v>133</v>
      </c>
      <c r="G387" s="21" t="str">
        <f>HYPERLINK("http://dx.doi.org/10.1016/j.jobe.2020.101734","http://dx.doi.org/10.1016/j.jobe.2020.101734")</f>
        <v>http://dx.doi.org/10.1016/j.jobe.2020.101734</v>
      </c>
      <c r="H387" s="21" t="s">
        <v>2826</v>
      </c>
      <c r="I387" s="21" t="s">
        <v>2900</v>
      </c>
      <c r="J387" s="21" t="s">
        <v>2828</v>
      </c>
      <c r="K387" s="20" t="s">
        <v>0</v>
      </c>
    </row>
    <row r="388" spans="1:11" x14ac:dyDescent="0.2">
      <c r="A388" s="30" t="s">
        <v>2821</v>
      </c>
      <c r="B388" s="21" t="s">
        <v>1122</v>
      </c>
      <c r="C388" s="21" t="s">
        <v>1070</v>
      </c>
      <c r="D388" s="21">
        <v>2023</v>
      </c>
      <c r="E388" s="21" t="s">
        <v>931</v>
      </c>
      <c r="F388" s="21" t="s">
        <v>329</v>
      </c>
      <c r="G388" s="21" t="str">
        <f>HYPERLINK("http://dx.doi.org/10.1016/j.wasman.2023.01.017","http://dx.doi.org/10.1016/j.wasman.2023.01.017")</f>
        <v>http://dx.doi.org/10.1016/j.wasman.2023.01.017</v>
      </c>
      <c r="H388" s="21" t="s">
        <v>2826</v>
      </c>
      <c r="I388" s="21" t="s">
        <v>2900</v>
      </c>
      <c r="J388" s="21" t="s">
        <v>2828</v>
      </c>
      <c r="K388" s="20" t="s">
        <v>0</v>
      </c>
    </row>
    <row r="389" spans="1:11" x14ac:dyDescent="0.2">
      <c r="A389" s="30" t="s">
        <v>2821</v>
      </c>
      <c r="B389" s="21" t="s">
        <v>2279</v>
      </c>
      <c r="C389" s="21" t="s">
        <v>2281</v>
      </c>
      <c r="D389" s="21">
        <v>2025</v>
      </c>
      <c r="E389" s="21" t="s">
        <v>924</v>
      </c>
      <c r="F389" s="21" t="s">
        <v>2282</v>
      </c>
      <c r="G389" s="21" t="str">
        <f>HYPERLINK("http://dx.doi.org/10.1021/acs.iecr.4c03563","http://dx.doi.org/10.1021/acs.iecr.4c03563")</f>
        <v>http://dx.doi.org/10.1021/acs.iecr.4c03563</v>
      </c>
      <c r="H389" s="21" t="s">
        <v>2826</v>
      </c>
      <c r="I389" s="21" t="s">
        <v>2835</v>
      </c>
      <c r="J389" s="21" t="s">
        <v>2218</v>
      </c>
      <c r="K389" s="20" t="s">
        <v>0</v>
      </c>
    </row>
    <row r="390" spans="1:11" x14ac:dyDescent="0.2">
      <c r="A390" s="30" t="s">
        <v>1569</v>
      </c>
      <c r="B390" s="21" t="s">
        <v>1215</v>
      </c>
      <c r="C390" s="21" t="s">
        <v>74</v>
      </c>
      <c r="D390" s="21">
        <v>2018</v>
      </c>
      <c r="E390" s="21" t="s">
        <v>925</v>
      </c>
      <c r="F390" s="21" t="s">
        <v>144</v>
      </c>
      <c r="G390" s="21" t="str">
        <f>HYPERLINK("http://dx.doi.org/10.1016/j.jclepro.2018.02.140","http://dx.doi.org/10.1016/j.jclepro.2018.02.140")</f>
        <v>http://dx.doi.org/10.1016/j.jclepro.2018.02.140</v>
      </c>
      <c r="H390" s="21" t="s">
        <v>2826</v>
      </c>
      <c r="I390" s="21" t="s">
        <v>2835</v>
      </c>
      <c r="J390" s="21" t="s">
        <v>2218</v>
      </c>
      <c r="K390" s="20" t="s">
        <v>0</v>
      </c>
    </row>
    <row r="391" spans="1:11" x14ac:dyDescent="0.2">
      <c r="A391" s="30" t="s">
        <v>2821</v>
      </c>
      <c r="B391" s="21" t="s">
        <v>201</v>
      </c>
      <c r="C391" s="21" t="s">
        <v>202</v>
      </c>
      <c r="D391" s="21">
        <v>2017</v>
      </c>
      <c r="E391" s="21" t="s">
        <v>925</v>
      </c>
      <c r="F391" s="21" t="s">
        <v>56</v>
      </c>
      <c r="G391" s="21" t="str">
        <f>HYPERLINK("http://dx.doi.org/10.1016/j.enpol.2016.08.030","http://dx.doi.org/10.1016/j.enpol.2016.08.030")</f>
        <v>http://dx.doi.org/10.1016/j.enpol.2016.08.030</v>
      </c>
      <c r="H391" s="21" t="s">
        <v>2826</v>
      </c>
      <c r="I391" s="21" t="s">
        <v>2900</v>
      </c>
      <c r="J391" s="21" t="s">
        <v>2828</v>
      </c>
      <c r="K391" s="20" t="s">
        <v>0</v>
      </c>
    </row>
    <row r="392" spans="1:11" x14ac:dyDescent="0.2">
      <c r="A392" s="30" t="s">
        <v>1569</v>
      </c>
      <c r="B392" s="21" t="s">
        <v>1984</v>
      </c>
      <c r="C392" s="21" t="s">
        <v>1391</v>
      </c>
      <c r="D392" s="21">
        <v>2015</v>
      </c>
      <c r="E392" s="21" t="s">
        <v>926</v>
      </c>
      <c r="F392" s="21" t="s">
        <v>209</v>
      </c>
      <c r="G392" s="21" t="str">
        <f>HYPERLINK("http://dx.doi.org/10.1007/s11367-015-0845-3","http://dx.doi.org/10.1007/s11367-015-0845-3")</f>
        <v>http://dx.doi.org/10.1007/s11367-015-0845-3</v>
      </c>
      <c r="H392" s="21" t="s">
        <v>2825</v>
      </c>
      <c r="I392" s="21" t="s">
        <v>2834</v>
      </c>
      <c r="J392" s="21" t="s">
        <v>2208</v>
      </c>
      <c r="K392" s="20" t="s">
        <v>0</v>
      </c>
    </row>
    <row r="393" spans="1:11" x14ac:dyDescent="0.2">
      <c r="A393" s="30" t="s">
        <v>2821</v>
      </c>
      <c r="B393" s="21" t="s">
        <v>613</v>
      </c>
      <c r="C393" s="21" t="s">
        <v>614</v>
      </c>
      <c r="D393" s="21">
        <v>2022</v>
      </c>
      <c r="E393" s="21" t="s">
        <v>954</v>
      </c>
      <c r="F393" s="21" t="s">
        <v>615</v>
      </c>
      <c r="G393" s="21" t="str">
        <f>HYPERLINK("http://dx.doi.org/10.3389/fenvs.2022.976624","http://dx.doi.org/10.3389/fenvs.2022.976624")</f>
        <v>http://dx.doi.org/10.3389/fenvs.2022.976624</v>
      </c>
      <c r="H393" s="21" t="s">
        <v>2826</v>
      </c>
      <c r="I393" s="21" t="s">
        <v>2836</v>
      </c>
      <c r="J393" s="21" t="s">
        <v>2830</v>
      </c>
      <c r="K393" s="20" t="s">
        <v>0</v>
      </c>
    </row>
    <row r="394" spans="1:11" x14ac:dyDescent="0.2">
      <c r="A394" s="30" t="s">
        <v>1569</v>
      </c>
      <c r="B394" s="21" t="s">
        <v>2135</v>
      </c>
      <c r="C394" s="21" t="s">
        <v>1392</v>
      </c>
      <c r="D394" s="21">
        <v>2005</v>
      </c>
      <c r="E394" s="21" t="s">
        <v>926</v>
      </c>
      <c r="F394" s="21" t="s">
        <v>209</v>
      </c>
      <c r="G394" s="21" t="str">
        <f>HYPERLINK("http://dx.doi.org/10.1065/lca2004.11.181.3","http://dx.doi.org/10.1065/lca2004.11.181.3")</f>
        <v>http://dx.doi.org/10.1065/lca2004.11.181.3</v>
      </c>
      <c r="H394" s="21" t="s">
        <v>2826</v>
      </c>
      <c r="I394" s="21" t="s">
        <v>2835</v>
      </c>
      <c r="J394" s="21" t="s">
        <v>2218</v>
      </c>
      <c r="K394" s="20" t="s">
        <v>0</v>
      </c>
    </row>
    <row r="395" spans="1:11" x14ac:dyDescent="0.2">
      <c r="A395" s="30" t="s">
        <v>2820</v>
      </c>
      <c r="B395" s="21" t="s">
        <v>1205</v>
      </c>
      <c r="C395" s="21" t="s">
        <v>120</v>
      </c>
      <c r="D395" s="21">
        <v>2020</v>
      </c>
      <c r="E395" s="21" t="s">
        <v>41</v>
      </c>
      <c r="F395" s="21" t="s">
        <v>54</v>
      </c>
      <c r="G395" s="21" t="str">
        <f>HYPERLINK("http://dx.doi.org/10.3390/su12198225","http://dx.doi.org/10.3390/su12198225")</f>
        <v>http://dx.doi.org/10.3390/su12198225</v>
      </c>
      <c r="H395" s="21" t="s">
        <v>1230</v>
      </c>
      <c r="I395" s="21" t="s">
        <v>2262</v>
      </c>
      <c r="J395" s="21" t="s">
        <v>2262</v>
      </c>
      <c r="K395" s="20" t="s">
        <v>0</v>
      </c>
    </row>
    <row r="396" spans="1:11" x14ac:dyDescent="0.2">
      <c r="A396" s="30" t="s">
        <v>2821</v>
      </c>
      <c r="B396" s="21" t="s">
        <v>1161</v>
      </c>
      <c r="C396" s="21" t="s">
        <v>1085</v>
      </c>
      <c r="D396" s="21">
        <v>2023</v>
      </c>
      <c r="E396" s="21" t="s">
        <v>954</v>
      </c>
      <c r="F396" s="21" t="s">
        <v>1126</v>
      </c>
      <c r="G396" s="21" t="str">
        <f>HYPERLINK("http://dx.doi.org/10.3389/fenrg.2023.1132611","http://dx.doi.org/10.3389/fenrg.2023.1132611")</f>
        <v>http://dx.doi.org/10.3389/fenrg.2023.1132611</v>
      </c>
      <c r="H396" s="21" t="s">
        <v>2826</v>
      </c>
      <c r="I396" s="21" t="s">
        <v>2900</v>
      </c>
      <c r="J396" s="21" t="s">
        <v>2828</v>
      </c>
      <c r="K396" s="20" t="s">
        <v>0</v>
      </c>
    </row>
    <row r="397" spans="1:11" x14ac:dyDescent="0.2">
      <c r="A397" s="30" t="s">
        <v>2821</v>
      </c>
      <c r="B397" s="21" t="s">
        <v>419</v>
      </c>
      <c r="C397" s="21" t="s">
        <v>420</v>
      </c>
      <c r="D397" s="21">
        <v>2022</v>
      </c>
      <c r="E397" s="21" t="s">
        <v>928</v>
      </c>
      <c r="F397" s="21" t="s">
        <v>162</v>
      </c>
      <c r="G397" s="21" t="str">
        <f>HYPERLINK("http://dx.doi.org/10.1016/j.susmat.2022.e00425","http://dx.doi.org/10.1016/j.susmat.2022.e00425")</f>
        <v>http://dx.doi.org/10.1016/j.susmat.2022.e00425</v>
      </c>
      <c r="H397" s="21" t="s">
        <v>2825</v>
      </c>
      <c r="I397" s="21" t="s">
        <v>2832</v>
      </c>
      <c r="J397" s="21" t="s">
        <v>2235</v>
      </c>
      <c r="K397" s="20" t="s">
        <v>0</v>
      </c>
    </row>
    <row r="398" spans="1:11" x14ac:dyDescent="0.2">
      <c r="A398" s="30" t="s">
        <v>2821</v>
      </c>
      <c r="B398" s="21" t="s">
        <v>845</v>
      </c>
      <c r="C398" s="21" t="s">
        <v>846</v>
      </c>
      <c r="D398" s="21">
        <v>2020</v>
      </c>
      <c r="E398" s="21" t="s">
        <v>41</v>
      </c>
      <c r="F398" s="21" t="s">
        <v>90</v>
      </c>
      <c r="G398" s="21" t="str">
        <f>HYPERLINK("http://dx.doi.org/10.3390/en13020456","http://dx.doi.org/10.3390/en13020456")</f>
        <v>http://dx.doi.org/10.3390/en13020456</v>
      </c>
      <c r="H398" s="21" t="s">
        <v>2826</v>
      </c>
      <c r="I398" s="21" t="s">
        <v>2835</v>
      </c>
      <c r="J398" s="21" t="s">
        <v>2218</v>
      </c>
      <c r="K398" s="20" t="s">
        <v>0</v>
      </c>
    </row>
    <row r="399" spans="1:11" x14ac:dyDescent="0.2">
      <c r="A399" s="30" t="s">
        <v>2820</v>
      </c>
      <c r="B399" s="21" t="s">
        <v>1202</v>
      </c>
      <c r="C399" s="21" t="s">
        <v>55</v>
      </c>
      <c r="D399" s="21">
        <v>2022</v>
      </c>
      <c r="E399" s="21" t="s">
        <v>925</v>
      </c>
      <c r="F399" s="21" t="s">
        <v>144</v>
      </c>
      <c r="G399" s="21" t="str">
        <f>HYPERLINK("http://dx.doi.org/10.1016/j.jclepro.2022.132014","http://dx.doi.org/10.1016/j.jclepro.2022.132014")</f>
        <v>http://dx.doi.org/10.1016/j.jclepro.2022.132014</v>
      </c>
      <c r="H399" s="21" t="s">
        <v>1230</v>
      </c>
      <c r="I399" s="21" t="s">
        <v>2262</v>
      </c>
      <c r="J399" s="21" t="s">
        <v>2262</v>
      </c>
      <c r="K399" s="20" t="s">
        <v>0</v>
      </c>
    </row>
    <row r="400" spans="1:11" x14ac:dyDescent="0.2">
      <c r="A400" s="30" t="s">
        <v>2821</v>
      </c>
      <c r="B400" s="21" t="s">
        <v>174</v>
      </c>
      <c r="C400" s="21" t="s">
        <v>19</v>
      </c>
      <c r="D400" s="21">
        <v>2023</v>
      </c>
      <c r="E400" s="21" t="s">
        <v>924</v>
      </c>
      <c r="F400" s="21" t="s">
        <v>175</v>
      </c>
      <c r="G400" s="21" t="str">
        <f>HYPERLINK("http://dx.doi.org/10.1021/acssuschemeng.3c04007","http://dx.doi.org/10.1021/acssuschemeng.3c04007")</f>
        <v>http://dx.doi.org/10.1021/acssuschemeng.3c04007</v>
      </c>
      <c r="H400" s="21" t="s">
        <v>2826</v>
      </c>
      <c r="I400" s="21" t="s">
        <v>2835</v>
      </c>
      <c r="J400" s="21" t="s">
        <v>2218</v>
      </c>
      <c r="K400" s="20" t="s">
        <v>0</v>
      </c>
    </row>
    <row r="401" spans="1:11" x14ac:dyDescent="0.2">
      <c r="A401" s="30" t="s">
        <v>2821</v>
      </c>
      <c r="B401" s="21" t="s">
        <v>218</v>
      </c>
      <c r="C401" s="21" t="s">
        <v>219</v>
      </c>
      <c r="D401" s="21">
        <v>2024</v>
      </c>
      <c r="E401" s="21" t="s">
        <v>930</v>
      </c>
      <c r="F401" s="21" t="s">
        <v>220</v>
      </c>
      <c r="G401" s="21" t="str">
        <f>HYPERLINK("http://dx.doi.org/10.1039/d4ee01641f","http://dx.doi.org/10.1039/d4ee01641f")</f>
        <v>http://dx.doi.org/10.1039/d4ee01641f</v>
      </c>
      <c r="H401" s="21" t="s">
        <v>2825</v>
      </c>
      <c r="I401" s="21" t="s">
        <v>2835</v>
      </c>
      <c r="J401" s="21" t="s">
        <v>2218</v>
      </c>
      <c r="K401" s="20" t="s">
        <v>0</v>
      </c>
    </row>
    <row r="402" spans="1:11" x14ac:dyDescent="0.2">
      <c r="A402" s="30" t="s">
        <v>2821</v>
      </c>
      <c r="B402" s="21" t="s">
        <v>1159</v>
      </c>
      <c r="C402" s="21" t="s">
        <v>1084</v>
      </c>
      <c r="D402" s="21">
        <v>2023</v>
      </c>
      <c r="E402" s="21" t="s">
        <v>925</v>
      </c>
      <c r="F402" s="21" t="s">
        <v>1160</v>
      </c>
      <c r="G402" s="21" t="str">
        <f>HYPERLINK("http://dx.doi.org/10.1016/j.jmapro.2023.01.034","http://dx.doi.org/10.1016/j.jmapro.2023.01.034")</f>
        <v>http://dx.doi.org/10.1016/j.jmapro.2023.01.034</v>
      </c>
      <c r="H402" s="21" t="s">
        <v>2826</v>
      </c>
      <c r="I402" s="21" t="s">
        <v>2900</v>
      </c>
      <c r="J402" s="21" t="s">
        <v>2828</v>
      </c>
      <c r="K402" s="20" t="s">
        <v>0</v>
      </c>
    </row>
    <row r="403" spans="1:11" x14ac:dyDescent="0.2">
      <c r="A403" s="30" t="s">
        <v>2821</v>
      </c>
      <c r="B403" s="21" t="s">
        <v>383</v>
      </c>
      <c r="C403" s="21" t="s">
        <v>384</v>
      </c>
      <c r="D403" s="21">
        <v>2021</v>
      </c>
      <c r="E403" s="21" t="s">
        <v>928</v>
      </c>
      <c r="F403" s="21" t="s">
        <v>213</v>
      </c>
      <c r="G403" s="21" t="str">
        <f>HYPERLINK("http://dx.doi.org/10.1016/j.resconrec.2021.105691","http://dx.doi.org/10.1016/j.resconrec.2021.105691")</f>
        <v>http://dx.doi.org/10.1016/j.resconrec.2021.105691</v>
      </c>
      <c r="H403" s="21" t="s">
        <v>2825</v>
      </c>
      <c r="I403" s="21" t="s">
        <v>2832</v>
      </c>
      <c r="J403" s="21" t="s">
        <v>2239</v>
      </c>
      <c r="K403" s="20" t="s">
        <v>0</v>
      </c>
    </row>
    <row r="404" spans="1:11" x14ac:dyDescent="0.2">
      <c r="A404" s="30" t="s">
        <v>1569</v>
      </c>
      <c r="B404" s="21" t="s">
        <v>1711</v>
      </c>
      <c r="C404" s="21" t="s">
        <v>1596</v>
      </c>
      <c r="D404" s="21">
        <v>2019</v>
      </c>
      <c r="E404" s="21" t="s">
        <v>923</v>
      </c>
      <c r="F404" s="21" t="s">
        <v>127</v>
      </c>
      <c r="G404" s="21" t="str">
        <f>HYPERLINK("http://dx.doi.org/10.1111/jiec.12766","http://dx.doi.org/10.1111/jiec.12766")</f>
        <v>http://dx.doi.org/10.1111/jiec.12766</v>
      </c>
      <c r="H404" s="21" t="s">
        <v>2825</v>
      </c>
      <c r="I404" s="21" t="s">
        <v>2832</v>
      </c>
      <c r="J404" s="21" t="s">
        <v>2229</v>
      </c>
      <c r="K404" s="20" t="s">
        <v>0</v>
      </c>
    </row>
    <row r="405" spans="1:11" x14ac:dyDescent="0.2">
      <c r="A405" s="30" t="s">
        <v>1569</v>
      </c>
      <c r="B405" s="21" t="s">
        <v>1802</v>
      </c>
      <c r="C405" s="21" t="s">
        <v>1394</v>
      </c>
      <c r="D405" s="21">
        <v>2018</v>
      </c>
      <c r="E405" s="21" t="s">
        <v>925</v>
      </c>
      <c r="F405" s="21" t="s">
        <v>144</v>
      </c>
      <c r="G405" s="21" t="str">
        <f>HYPERLINK("http://dx.doi.org/10.1016/j.jclepro.2017.10.245","http://dx.doi.org/10.1016/j.jclepro.2017.10.245")</f>
        <v>http://dx.doi.org/10.1016/j.jclepro.2017.10.245</v>
      </c>
      <c r="H405" s="21" t="s">
        <v>2826</v>
      </c>
      <c r="I405" s="21" t="s">
        <v>2835</v>
      </c>
      <c r="J405" s="21" t="s">
        <v>2218</v>
      </c>
      <c r="K405" s="20" t="s">
        <v>0</v>
      </c>
    </row>
    <row r="406" spans="1:11" x14ac:dyDescent="0.2">
      <c r="A406" s="30" t="s">
        <v>1569</v>
      </c>
      <c r="B406" s="21" t="s">
        <v>1928</v>
      </c>
      <c r="C406" s="21" t="s">
        <v>1395</v>
      </c>
      <c r="D406" s="21">
        <v>2012</v>
      </c>
      <c r="E406" s="21" t="s">
        <v>931</v>
      </c>
      <c r="F406" s="21" t="s">
        <v>329</v>
      </c>
      <c r="G406" s="21" t="str">
        <f>HYPERLINK("http://dx.doi.org/10.1016/j.wasman.2011.12.010","http://dx.doi.org/10.1016/j.wasman.2011.12.010")</f>
        <v>http://dx.doi.org/10.1016/j.wasman.2011.12.010</v>
      </c>
      <c r="H406" s="21" t="s">
        <v>2826</v>
      </c>
      <c r="I406" s="21" t="s">
        <v>2835</v>
      </c>
      <c r="J406" s="21" t="s">
        <v>2214</v>
      </c>
      <c r="K406" s="20" t="s">
        <v>0</v>
      </c>
    </row>
    <row r="407" spans="1:11" x14ac:dyDescent="0.2">
      <c r="A407" s="30" t="s">
        <v>1569</v>
      </c>
      <c r="B407" s="21" t="s">
        <v>1762</v>
      </c>
      <c r="C407" s="21" t="s">
        <v>1622</v>
      </c>
      <c r="D407" s="21">
        <v>2018</v>
      </c>
      <c r="E407" s="21" t="s">
        <v>926</v>
      </c>
      <c r="F407" s="21" t="s">
        <v>209</v>
      </c>
      <c r="G407" s="21" t="str">
        <f>HYPERLINK("http://dx.doi.org/10.1007/s11367-017-1383-y","http://dx.doi.org/10.1007/s11367-017-1383-y")</f>
        <v>http://dx.doi.org/10.1007/s11367-017-1383-y</v>
      </c>
      <c r="H407" s="21" t="s">
        <v>2826</v>
      </c>
      <c r="I407" s="21" t="s">
        <v>2835</v>
      </c>
      <c r="J407" s="21" t="s">
        <v>2219</v>
      </c>
      <c r="K407" s="20" t="s">
        <v>0</v>
      </c>
    </row>
    <row r="408" spans="1:11" x14ac:dyDescent="0.2">
      <c r="A408" s="30" t="s">
        <v>2821</v>
      </c>
      <c r="B408" s="21" t="s">
        <v>878</v>
      </c>
      <c r="C408" s="21" t="s">
        <v>879</v>
      </c>
      <c r="D408" s="21">
        <v>2024</v>
      </c>
      <c r="E408" s="21" t="s">
        <v>928</v>
      </c>
      <c r="F408" s="21" t="s">
        <v>880</v>
      </c>
      <c r="G408" s="21" t="str">
        <f>HYPERLINK("http://dx.doi.org/10.1016/j.labeco.2024.102505","http://dx.doi.org/10.1016/j.labeco.2024.102505")</f>
        <v>http://dx.doi.org/10.1016/j.labeco.2024.102505</v>
      </c>
      <c r="H408" s="21" t="s">
        <v>2826</v>
      </c>
      <c r="I408" s="21" t="s">
        <v>2836</v>
      </c>
      <c r="J408" s="21" t="s">
        <v>2830</v>
      </c>
      <c r="K408" s="20" t="s">
        <v>0</v>
      </c>
    </row>
    <row r="409" spans="1:11" x14ac:dyDescent="0.2">
      <c r="A409" s="30" t="s">
        <v>1569</v>
      </c>
      <c r="B409" s="21" t="s">
        <v>1936</v>
      </c>
      <c r="C409" s="21" t="s">
        <v>1396</v>
      </c>
      <c r="D409" s="21">
        <v>2016</v>
      </c>
      <c r="E409" s="21" t="s">
        <v>923</v>
      </c>
      <c r="F409" s="21" t="s">
        <v>127</v>
      </c>
      <c r="G409" s="21" t="str">
        <f>HYPERLINK("http://dx.doi.org/10.1111/jiec.12374","http://dx.doi.org/10.1111/jiec.12374")</f>
        <v>http://dx.doi.org/10.1111/jiec.12374</v>
      </c>
      <c r="H409" s="21" t="s">
        <v>2826</v>
      </c>
      <c r="I409" s="21" t="s">
        <v>2833</v>
      </c>
      <c r="J409" s="21" t="s">
        <v>2827</v>
      </c>
      <c r="K409" s="20" t="s">
        <v>0</v>
      </c>
    </row>
    <row r="410" spans="1:11" x14ac:dyDescent="0.2">
      <c r="A410" s="30" t="s">
        <v>1569</v>
      </c>
      <c r="B410" s="21" t="s">
        <v>1935</v>
      </c>
      <c r="C410" s="21" t="s">
        <v>1397</v>
      </c>
      <c r="D410" s="21">
        <v>2016</v>
      </c>
      <c r="E410" s="21" t="s">
        <v>923</v>
      </c>
      <c r="F410" s="21" t="s">
        <v>127</v>
      </c>
      <c r="G410" s="21" t="str">
        <f>HYPERLINK("http://dx.doi.org/10.1111/jiec.12347","http://dx.doi.org/10.1111/jiec.12347")</f>
        <v>http://dx.doi.org/10.1111/jiec.12347</v>
      </c>
      <c r="H410" s="21" t="s">
        <v>2826</v>
      </c>
      <c r="I410" s="21" t="s">
        <v>2835</v>
      </c>
      <c r="J410" s="21" t="s">
        <v>2219</v>
      </c>
      <c r="K410" s="20" t="s">
        <v>0</v>
      </c>
    </row>
    <row r="411" spans="1:11" x14ac:dyDescent="0.2">
      <c r="A411" s="30" t="s">
        <v>2821</v>
      </c>
      <c r="B411" s="21" t="s">
        <v>253</v>
      </c>
      <c r="C411" s="21" t="s">
        <v>254</v>
      </c>
      <c r="D411" s="21">
        <v>2011</v>
      </c>
      <c r="E411" s="21" t="s">
        <v>923</v>
      </c>
      <c r="F411" s="21" t="s">
        <v>255</v>
      </c>
      <c r="G411" s="21" t="str">
        <f>HYPERLINK("http://dx.doi.org/10.1002/pip.990","http://dx.doi.org/10.1002/pip.990")</f>
        <v>http://dx.doi.org/10.1002/pip.990</v>
      </c>
      <c r="H411" s="21" t="s">
        <v>2826</v>
      </c>
      <c r="I411" s="21" t="s">
        <v>2835</v>
      </c>
      <c r="J411" s="21" t="s">
        <v>2218</v>
      </c>
      <c r="K411" s="20" t="s">
        <v>0</v>
      </c>
    </row>
    <row r="412" spans="1:11" x14ac:dyDescent="0.2">
      <c r="A412" s="30" t="s">
        <v>2821</v>
      </c>
      <c r="B412" s="21" t="s">
        <v>1020</v>
      </c>
      <c r="C412" s="21" t="s">
        <v>1021</v>
      </c>
      <c r="D412" s="21">
        <v>2020</v>
      </c>
      <c r="E412" s="21" t="s">
        <v>991</v>
      </c>
      <c r="F412" s="21" t="s">
        <v>1022</v>
      </c>
      <c r="G412" s="21" t="str">
        <f>HYPERLINK("http://dx.doi.org/10.1080/15476286.2020.1729594","http://dx.doi.org/10.1080/15476286.2020.1729594")</f>
        <v>http://dx.doi.org/10.1080/15476286.2020.1729594</v>
      </c>
      <c r="H412" s="21" t="s">
        <v>2826</v>
      </c>
      <c r="I412" s="21" t="s">
        <v>2836</v>
      </c>
      <c r="J412" s="21" t="s">
        <v>2830</v>
      </c>
      <c r="K412" s="20" t="s">
        <v>0</v>
      </c>
    </row>
    <row r="413" spans="1:11" x14ac:dyDescent="0.2">
      <c r="A413" s="30" t="s">
        <v>1569</v>
      </c>
      <c r="B413" s="21" t="s">
        <v>1880</v>
      </c>
      <c r="C413" s="21" t="s">
        <v>1398</v>
      </c>
      <c r="D413" s="21">
        <v>2017</v>
      </c>
      <c r="E413" s="21" t="s">
        <v>925</v>
      </c>
      <c r="F413" s="21" t="s">
        <v>144</v>
      </c>
      <c r="G413" s="21" t="str">
        <f>HYPERLINK("http://dx.doi.org/10.1016/j.jclepro.2016.11.161","http://dx.doi.org/10.1016/j.jclepro.2016.11.161")</f>
        <v>http://dx.doi.org/10.1016/j.jclepro.2016.11.161</v>
      </c>
      <c r="H413" s="21" t="s">
        <v>2826</v>
      </c>
      <c r="I413" s="21" t="s">
        <v>2835</v>
      </c>
      <c r="J413" s="21" t="s">
        <v>2219</v>
      </c>
      <c r="K413" s="20" t="s">
        <v>0</v>
      </c>
    </row>
    <row r="414" spans="1:11" x14ac:dyDescent="0.2">
      <c r="A414" s="30" t="s">
        <v>2821</v>
      </c>
      <c r="B414" s="21" t="s">
        <v>543</v>
      </c>
      <c r="C414" s="21" t="s">
        <v>544</v>
      </c>
      <c r="D414" s="21">
        <v>2021</v>
      </c>
      <c r="E414" s="21" t="s">
        <v>991</v>
      </c>
      <c r="F414" s="21" t="s">
        <v>545</v>
      </c>
      <c r="G414" s="21" t="str">
        <f>HYPERLINK("http://dx.doi.org/10.1080/10498850.2021.1974140","http://dx.doi.org/10.1080/10498850.2021.1974140")</f>
        <v>http://dx.doi.org/10.1080/10498850.2021.1974140</v>
      </c>
      <c r="H414" s="21" t="s">
        <v>2826</v>
      </c>
      <c r="I414" s="21" t="s">
        <v>2836</v>
      </c>
      <c r="J414" s="21" t="s">
        <v>2830</v>
      </c>
      <c r="K414" s="20" t="s">
        <v>0</v>
      </c>
    </row>
    <row r="415" spans="1:11" x14ac:dyDescent="0.2">
      <c r="A415" s="30" t="s">
        <v>1569</v>
      </c>
      <c r="B415" s="21" t="s">
        <v>1692</v>
      </c>
      <c r="C415" s="21" t="s">
        <v>1580</v>
      </c>
      <c r="D415" s="21">
        <v>2019</v>
      </c>
      <c r="E415" s="21" t="s">
        <v>928</v>
      </c>
      <c r="F415" s="21" t="s">
        <v>1693</v>
      </c>
      <c r="G415" s="21" t="str">
        <f>HYPERLINK("http://dx.doi.org/10.1016/j.ijpe.2019.04.016","http://dx.doi.org/10.1016/j.ijpe.2019.04.016")</f>
        <v>http://dx.doi.org/10.1016/j.ijpe.2019.04.016</v>
      </c>
      <c r="H415" s="21" t="s">
        <v>2826</v>
      </c>
      <c r="I415" s="21" t="s">
        <v>2835</v>
      </c>
      <c r="J415" s="21" t="s">
        <v>2219</v>
      </c>
      <c r="K415" s="20" t="s">
        <v>0</v>
      </c>
    </row>
    <row r="416" spans="1:11" x14ac:dyDescent="0.2">
      <c r="A416" s="30" t="s">
        <v>2821</v>
      </c>
      <c r="B416" s="21" t="s">
        <v>737</v>
      </c>
      <c r="C416" s="21" t="s">
        <v>738</v>
      </c>
      <c r="D416" s="21">
        <v>2021</v>
      </c>
      <c r="E416" s="21" t="s">
        <v>943</v>
      </c>
      <c r="F416" s="21" t="s">
        <v>739</v>
      </c>
      <c r="G416" s="21" t="str">
        <f>HYPERLINK("http://dx.doi.org/10.1017/S1474747219000027","http://dx.doi.org/10.1017/S1474747219000027")</f>
        <v>http://dx.doi.org/10.1017/S1474747219000027</v>
      </c>
      <c r="H416" s="21" t="s">
        <v>2826</v>
      </c>
      <c r="I416" s="21" t="s">
        <v>2836</v>
      </c>
      <c r="J416" s="21" t="s">
        <v>2830</v>
      </c>
      <c r="K416" s="20" t="s">
        <v>0</v>
      </c>
    </row>
    <row r="417" spans="1:11" x14ac:dyDescent="0.2">
      <c r="A417" s="30" t="s">
        <v>2822</v>
      </c>
      <c r="B417" s="21" t="s">
        <v>1239</v>
      </c>
      <c r="C417" s="21" t="s">
        <v>50</v>
      </c>
      <c r="D417" s="21">
        <v>2020</v>
      </c>
      <c r="E417" s="21" t="s">
        <v>933</v>
      </c>
      <c r="F417" s="21" t="s">
        <v>1200</v>
      </c>
      <c r="G417" s="21" t="str">
        <f>HYPERLINK("http://dx.doi.org/10.1038/s41893-020-0488-7","http://dx.doi.org/10.1038/s41893-020-0488-7")</f>
        <v>http://dx.doi.org/10.1038/s41893-020-0488-7</v>
      </c>
      <c r="H417" s="21" t="s">
        <v>1230</v>
      </c>
      <c r="I417" s="21" t="s">
        <v>2262</v>
      </c>
      <c r="J417" s="21" t="s">
        <v>2262</v>
      </c>
      <c r="K417" s="20" t="s">
        <v>0</v>
      </c>
    </row>
    <row r="418" spans="1:11" x14ac:dyDescent="0.2">
      <c r="A418" s="30" t="s">
        <v>2821</v>
      </c>
      <c r="B418" s="21" t="s">
        <v>2377</v>
      </c>
      <c r="C418" s="21" t="s">
        <v>2378</v>
      </c>
      <c r="D418" s="21">
        <v>2025</v>
      </c>
      <c r="E418" s="21" t="s">
        <v>929</v>
      </c>
      <c r="F418" s="21" t="s">
        <v>2379</v>
      </c>
      <c r="G418" s="21" t="str">
        <f>HYPERLINK("http://dx.doi.org/10.1007/s00423-025-03782-w","http://dx.doi.org/10.1007/s00423-025-03782-w")</f>
        <v>http://dx.doi.org/10.1007/s00423-025-03782-w</v>
      </c>
      <c r="H418" s="21" t="s">
        <v>2826</v>
      </c>
      <c r="I418" s="21" t="s">
        <v>2836</v>
      </c>
      <c r="J418" s="21" t="s">
        <v>2830</v>
      </c>
      <c r="K418" s="20" t="s">
        <v>0</v>
      </c>
    </row>
    <row r="419" spans="1:11" x14ac:dyDescent="0.2">
      <c r="A419" s="30" t="s">
        <v>1569</v>
      </c>
      <c r="B419" s="21" t="s">
        <v>1836</v>
      </c>
      <c r="C419" s="21" t="s">
        <v>1399</v>
      </c>
      <c r="D419" s="21">
        <v>2017</v>
      </c>
      <c r="E419" s="21" t="s">
        <v>926</v>
      </c>
      <c r="F419" s="21" t="s">
        <v>209</v>
      </c>
      <c r="G419" s="21" t="str">
        <f>HYPERLINK("http://dx.doi.org/10.1007/s11367-017-1276-0","http://dx.doi.org/10.1007/s11367-017-1276-0")</f>
        <v>http://dx.doi.org/10.1007/s11367-017-1276-0</v>
      </c>
      <c r="H419" s="21" t="s">
        <v>2826</v>
      </c>
      <c r="I419" s="21" t="s">
        <v>2835</v>
      </c>
      <c r="J419" s="21" t="s">
        <v>2214</v>
      </c>
      <c r="K419" s="20" t="s">
        <v>0</v>
      </c>
    </row>
    <row r="420" spans="1:11" x14ac:dyDescent="0.2">
      <c r="A420" s="30" t="s">
        <v>2821</v>
      </c>
      <c r="B420" s="21" t="s">
        <v>1001</v>
      </c>
      <c r="C420" s="21" t="s">
        <v>1002</v>
      </c>
      <c r="D420" s="21">
        <v>2024</v>
      </c>
      <c r="E420" s="21" t="s">
        <v>1003</v>
      </c>
      <c r="F420" s="21" t="s">
        <v>1004</v>
      </c>
      <c r="G420" s="21" t="str">
        <f>HYPERLINK("http://dx.doi.org/10.1302/2633-1462.59.BJO-2024-0027.R1","http://dx.doi.org/10.1302/2633-1462.59.BJO-2024-0027.R1")</f>
        <v>http://dx.doi.org/10.1302/2633-1462.59.BJO-2024-0027.R1</v>
      </c>
      <c r="H420" s="21" t="s">
        <v>2826</v>
      </c>
      <c r="I420" s="21" t="s">
        <v>2835</v>
      </c>
      <c r="J420" s="21" t="s">
        <v>2218</v>
      </c>
      <c r="K420" s="20" t="s">
        <v>0</v>
      </c>
    </row>
    <row r="421" spans="1:11" x14ac:dyDescent="0.2">
      <c r="A421" s="30" t="s">
        <v>2821</v>
      </c>
      <c r="B421" s="21" t="s">
        <v>976</v>
      </c>
      <c r="C421" s="21" t="s">
        <v>977</v>
      </c>
      <c r="D421" s="21">
        <v>2012</v>
      </c>
      <c r="E421" s="21" t="s">
        <v>931</v>
      </c>
      <c r="F421" s="21" t="s">
        <v>978</v>
      </c>
      <c r="G421" s="21" t="str">
        <f>HYPERLINK("http://dx.doi.org/10.1016/j.socscimed.2011.12.035","http://dx.doi.org/10.1016/j.socscimed.2011.12.035")</f>
        <v>http://dx.doi.org/10.1016/j.socscimed.2011.12.035</v>
      </c>
      <c r="H421" s="21" t="s">
        <v>2826</v>
      </c>
      <c r="I421" s="21" t="s">
        <v>2836</v>
      </c>
      <c r="J421" s="21" t="s">
        <v>2830</v>
      </c>
      <c r="K421" s="20" t="s">
        <v>0</v>
      </c>
    </row>
    <row r="422" spans="1:11" x14ac:dyDescent="0.2">
      <c r="A422" s="30" t="s">
        <v>2821</v>
      </c>
      <c r="B422" s="21" t="s">
        <v>903</v>
      </c>
      <c r="C422" s="21" t="s">
        <v>904</v>
      </c>
      <c r="D422" s="21">
        <v>2011</v>
      </c>
      <c r="E422" s="21" t="s">
        <v>928</v>
      </c>
      <c r="F422" s="21" t="s">
        <v>905</v>
      </c>
      <c r="G422" s="21" t="str">
        <f>HYPERLINK("http://dx.doi.org/10.1016/j.jsis.2011.07.001","http://dx.doi.org/10.1016/j.jsis.2011.07.001")</f>
        <v>http://dx.doi.org/10.1016/j.jsis.2011.07.001</v>
      </c>
      <c r="H422" s="21" t="s">
        <v>2826</v>
      </c>
      <c r="I422" s="21" t="s">
        <v>2836</v>
      </c>
      <c r="J422" s="21" t="s">
        <v>2830</v>
      </c>
      <c r="K422" s="20" t="s">
        <v>0</v>
      </c>
    </row>
    <row r="423" spans="1:11" x14ac:dyDescent="0.2">
      <c r="A423" s="30" t="s">
        <v>2821</v>
      </c>
      <c r="B423" s="21" t="s">
        <v>2196</v>
      </c>
      <c r="C423" s="21" t="s">
        <v>2197</v>
      </c>
      <c r="D423" s="21">
        <v>2024</v>
      </c>
      <c r="E423" s="21" t="s">
        <v>1026</v>
      </c>
      <c r="F423" s="21" t="s">
        <v>2198</v>
      </c>
      <c r="G423" s="21" t="s">
        <v>2204</v>
      </c>
      <c r="H423" s="21" t="s">
        <v>2826</v>
      </c>
      <c r="I423" s="21" t="s">
        <v>2835</v>
      </c>
      <c r="J423" s="21" t="s">
        <v>2218</v>
      </c>
      <c r="K423" s="20" t="s">
        <v>0</v>
      </c>
    </row>
    <row r="424" spans="1:11" x14ac:dyDescent="0.2">
      <c r="A424" s="30" t="s">
        <v>2821</v>
      </c>
      <c r="B424" s="21" t="s">
        <v>2196</v>
      </c>
      <c r="C424" s="21" t="s">
        <v>2280</v>
      </c>
      <c r="D424" s="21">
        <v>2024</v>
      </c>
      <c r="E424" s="21" t="s">
        <v>923</v>
      </c>
      <c r="F424" s="21" t="s">
        <v>127</v>
      </c>
      <c r="G424" s="21" t="str">
        <f>HYPERLINK("http://dx.doi.org/10.1111/jiec.13592","http://dx.doi.org/10.1111/jiec.13592")</f>
        <v>http://dx.doi.org/10.1111/jiec.13592</v>
      </c>
      <c r="H424" s="21" t="s">
        <v>2826</v>
      </c>
      <c r="I424" s="21" t="s">
        <v>2835</v>
      </c>
      <c r="J424" s="21" t="s">
        <v>2218</v>
      </c>
      <c r="K424" s="20" t="s">
        <v>0</v>
      </c>
    </row>
    <row r="425" spans="1:11" x14ac:dyDescent="0.2">
      <c r="A425" s="30" t="s">
        <v>1569</v>
      </c>
      <c r="B425" s="21" t="s">
        <v>2023</v>
      </c>
      <c r="C425" s="21" t="s">
        <v>1400</v>
      </c>
      <c r="D425" s="21">
        <v>2014</v>
      </c>
      <c r="E425" s="21" t="s">
        <v>1196</v>
      </c>
      <c r="F425" s="21" t="s">
        <v>2024</v>
      </c>
      <c r="G425" s="21" t="str">
        <f>HYPERLINK("http://dx.doi.org/10.1109/TITS.2013.2284638","http://dx.doi.org/10.1109/TITS.2013.2284638")</f>
        <v>http://dx.doi.org/10.1109/TITS.2013.2284638</v>
      </c>
      <c r="H425" s="21" t="s">
        <v>2825</v>
      </c>
      <c r="I425" s="21" t="s">
        <v>2835</v>
      </c>
      <c r="J425" s="21" t="s">
        <v>2839</v>
      </c>
      <c r="K425" s="20" t="s">
        <v>0</v>
      </c>
    </row>
    <row r="426" spans="1:11" x14ac:dyDescent="0.2">
      <c r="A426" s="30" t="s">
        <v>2821</v>
      </c>
      <c r="B426" s="21" t="s">
        <v>849</v>
      </c>
      <c r="C426" s="21" t="s">
        <v>850</v>
      </c>
      <c r="D426" s="21">
        <v>2014</v>
      </c>
      <c r="E426" s="21" t="s">
        <v>926</v>
      </c>
      <c r="F426" s="21" t="s">
        <v>209</v>
      </c>
      <c r="G426" s="21" t="str">
        <f>HYPERLINK("http://dx.doi.org/10.1007/s11367-014-0752-z","http://dx.doi.org/10.1007/s11367-014-0752-z")</f>
        <v>http://dx.doi.org/10.1007/s11367-014-0752-z</v>
      </c>
      <c r="H426" s="21" t="s">
        <v>2826</v>
      </c>
      <c r="I426" s="21" t="s">
        <v>2833</v>
      </c>
      <c r="J426" s="21" t="s">
        <v>2827</v>
      </c>
      <c r="K426" s="20" t="s">
        <v>0</v>
      </c>
    </row>
    <row r="427" spans="1:11" x14ac:dyDescent="0.2">
      <c r="A427" s="30" t="s">
        <v>1569</v>
      </c>
      <c r="B427" s="21" t="s">
        <v>2111</v>
      </c>
      <c r="C427" s="21" t="s">
        <v>1401</v>
      </c>
      <c r="D427" s="21">
        <v>2007</v>
      </c>
      <c r="E427" s="21" t="s">
        <v>925</v>
      </c>
      <c r="F427" s="21" t="s">
        <v>56</v>
      </c>
      <c r="G427" s="21" t="str">
        <f>HYPERLINK("http://dx.doi.org/10.1016/j.enpol.2007.01.001","http://dx.doi.org/10.1016/j.enpol.2007.01.001")</f>
        <v>http://dx.doi.org/10.1016/j.enpol.2007.01.001</v>
      </c>
      <c r="H427" s="21" t="s">
        <v>2825</v>
      </c>
      <c r="I427" s="21" t="s">
        <v>2832</v>
      </c>
      <c r="J427" s="21" t="s">
        <v>2884</v>
      </c>
      <c r="K427" s="20" t="s">
        <v>0</v>
      </c>
    </row>
    <row r="428" spans="1:11" x14ac:dyDescent="0.2">
      <c r="A428" s="30" t="s">
        <v>2821</v>
      </c>
      <c r="B428" s="21" t="s">
        <v>632</v>
      </c>
      <c r="C428" s="21" t="s">
        <v>633</v>
      </c>
      <c r="D428" s="21">
        <v>2021</v>
      </c>
      <c r="E428" s="21" t="s">
        <v>925</v>
      </c>
      <c r="F428" s="21" t="s">
        <v>144</v>
      </c>
      <c r="G428" s="21" t="str">
        <f>HYPERLINK("http://dx.doi.org/10.1016/j.jclepro.2020.125593","http://dx.doi.org/10.1016/j.jclepro.2020.125593")</f>
        <v>http://dx.doi.org/10.1016/j.jclepro.2020.125593</v>
      </c>
      <c r="H428" s="21" t="s">
        <v>2826</v>
      </c>
      <c r="I428" s="21" t="s">
        <v>2834</v>
      </c>
      <c r="J428" s="21" t="s">
        <v>2208</v>
      </c>
      <c r="K428" s="20" t="s">
        <v>0</v>
      </c>
    </row>
    <row r="429" spans="1:11" x14ac:dyDescent="0.2">
      <c r="A429" s="30" t="s">
        <v>2821</v>
      </c>
      <c r="B429" s="21" t="s">
        <v>1167</v>
      </c>
      <c r="C429" s="21" t="s">
        <v>1096</v>
      </c>
      <c r="D429" s="21">
        <v>2021</v>
      </c>
      <c r="E429" s="21" t="s">
        <v>926</v>
      </c>
      <c r="F429" s="21" t="s">
        <v>1168</v>
      </c>
      <c r="G429" s="21" t="str">
        <f>HYPERLINK("http://dx.doi.org/10.1007/s13399-019-00533-y","http://dx.doi.org/10.1007/s13399-019-00533-y")</f>
        <v>http://dx.doi.org/10.1007/s13399-019-00533-y</v>
      </c>
      <c r="H429" s="21" t="s">
        <v>2826</v>
      </c>
      <c r="I429" s="21" t="s">
        <v>2900</v>
      </c>
      <c r="J429" s="21" t="s">
        <v>2828</v>
      </c>
      <c r="K429" s="20" t="s">
        <v>0</v>
      </c>
    </row>
    <row r="430" spans="1:11" x14ac:dyDescent="0.2">
      <c r="A430" s="30" t="s">
        <v>2821</v>
      </c>
      <c r="B430" s="21" t="s">
        <v>590</v>
      </c>
      <c r="C430" s="21" t="s">
        <v>591</v>
      </c>
      <c r="D430" s="21">
        <v>2024</v>
      </c>
      <c r="E430" s="21" t="s">
        <v>929</v>
      </c>
      <c r="F430" s="21" t="s">
        <v>592</v>
      </c>
      <c r="G430" s="21" t="str">
        <f>HYPERLINK("http://dx.doi.org/10.1007/s42452-024-05860-y","http://dx.doi.org/10.1007/s42452-024-05860-y")</f>
        <v>http://dx.doi.org/10.1007/s42452-024-05860-y</v>
      </c>
      <c r="H430" s="21" t="s">
        <v>2825</v>
      </c>
      <c r="I430" s="21" t="s">
        <v>2835</v>
      </c>
      <c r="J430" s="21" t="s">
        <v>2218</v>
      </c>
      <c r="K430" s="20" t="s">
        <v>0</v>
      </c>
    </row>
    <row r="431" spans="1:11" x14ac:dyDescent="0.2">
      <c r="A431" s="30" t="s">
        <v>1569</v>
      </c>
      <c r="B431" s="21" t="s">
        <v>1949</v>
      </c>
      <c r="C431" s="21" t="s">
        <v>1402</v>
      </c>
      <c r="D431" s="21">
        <v>2016</v>
      </c>
      <c r="E431" s="21" t="s">
        <v>931</v>
      </c>
      <c r="F431" s="21" t="s">
        <v>147</v>
      </c>
      <c r="G431" s="21" t="str">
        <f>HYPERLINK("http://dx.doi.org/10.1016/j.trd.2015.10.021","http://dx.doi.org/10.1016/j.trd.2015.10.021")</f>
        <v>http://dx.doi.org/10.1016/j.trd.2015.10.021</v>
      </c>
      <c r="H431" s="21" t="s">
        <v>2826</v>
      </c>
      <c r="I431" s="21" t="s">
        <v>2835</v>
      </c>
      <c r="J431" s="21" t="s">
        <v>2839</v>
      </c>
      <c r="K431" s="20" t="s">
        <v>0</v>
      </c>
    </row>
    <row r="432" spans="1:11" x14ac:dyDescent="0.2">
      <c r="A432" s="30" t="s">
        <v>2821</v>
      </c>
      <c r="B432" s="21" t="s">
        <v>136</v>
      </c>
      <c r="C432" s="21" t="s">
        <v>137</v>
      </c>
      <c r="D432" s="21">
        <v>2024</v>
      </c>
      <c r="E432" s="21" t="s">
        <v>931</v>
      </c>
      <c r="F432" s="21" t="s">
        <v>138</v>
      </c>
      <c r="G432" s="21" t="str">
        <f>HYPERLINK("http://dx.doi.org/10.1016/j.ijhydene.2023.10.192","http://dx.doi.org/10.1016/j.ijhydene.2023.10.192")</f>
        <v>http://dx.doi.org/10.1016/j.ijhydene.2023.10.192</v>
      </c>
      <c r="H432" s="21" t="s">
        <v>2826</v>
      </c>
      <c r="I432" s="21" t="s">
        <v>2835</v>
      </c>
      <c r="J432" s="21" t="s">
        <v>2218</v>
      </c>
      <c r="K432" s="20" t="s">
        <v>0</v>
      </c>
    </row>
    <row r="433" spans="1:11" x14ac:dyDescent="0.2">
      <c r="A433" s="30" t="s">
        <v>2821</v>
      </c>
      <c r="B433" s="21" t="s">
        <v>460</v>
      </c>
      <c r="C433" s="21" t="s">
        <v>461</v>
      </c>
      <c r="D433" s="21">
        <v>2021</v>
      </c>
      <c r="E433" s="21" t="s">
        <v>975</v>
      </c>
      <c r="F433" s="21" t="s">
        <v>462</v>
      </c>
      <c r="G433" s="21" t="str">
        <f>HYPERLINK("http://dx.doi.org/10.1016/j.archger.2021.104425","http://dx.doi.org/10.1016/j.archger.2021.104425")</f>
        <v>http://dx.doi.org/10.1016/j.archger.2021.104425</v>
      </c>
      <c r="H433" s="21" t="s">
        <v>2826</v>
      </c>
      <c r="I433" s="21" t="s">
        <v>2836</v>
      </c>
      <c r="J433" s="21" t="s">
        <v>2830</v>
      </c>
      <c r="K433" s="20" t="s">
        <v>0</v>
      </c>
    </row>
    <row r="434" spans="1:11" x14ac:dyDescent="0.2">
      <c r="A434" s="30" t="s">
        <v>1569</v>
      </c>
      <c r="B434" s="21" t="s">
        <v>1797</v>
      </c>
      <c r="C434" s="21" t="s">
        <v>1403</v>
      </c>
      <c r="D434" s="21">
        <v>2018</v>
      </c>
      <c r="E434" s="21" t="s">
        <v>925</v>
      </c>
      <c r="F434" s="21" t="s">
        <v>1207</v>
      </c>
      <c r="G434" s="21" t="str">
        <f>HYPERLINK("http://dx.doi.org/10.1016/j.gloenvcha.2018.02.008","http://dx.doi.org/10.1016/j.gloenvcha.2018.02.008")</f>
        <v>http://dx.doi.org/10.1016/j.gloenvcha.2018.02.008</v>
      </c>
      <c r="H434" s="21" t="s">
        <v>1230</v>
      </c>
      <c r="I434" s="21" t="s">
        <v>2262</v>
      </c>
      <c r="J434" s="21" t="s">
        <v>2262</v>
      </c>
      <c r="K434" s="20" t="s">
        <v>0</v>
      </c>
    </row>
    <row r="435" spans="1:11" ht="15.75" customHeight="1" x14ac:dyDescent="0.2">
      <c r="A435" s="30" t="s">
        <v>1569</v>
      </c>
      <c r="B435" s="21" t="s">
        <v>1937</v>
      </c>
      <c r="C435" s="21" t="s">
        <v>1404</v>
      </c>
      <c r="D435" s="21">
        <v>2016</v>
      </c>
      <c r="E435" s="21" t="s">
        <v>923</v>
      </c>
      <c r="F435" s="21" t="s">
        <v>127</v>
      </c>
      <c r="G435" s="21" t="str">
        <f>HYPERLINK("http://dx.doi.org/10.1111/jiec.12369","http://dx.doi.org/10.1111/jiec.12369")</f>
        <v>http://dx.doi.org/10.1111/jiec.12369</v>
      </c>
      <c r="H435" s="21" t="s">
        <v>2826</v>
      </c>
      <c r="I435" s="21" t="s">
        <v>2835</v>
      </c>
      <c r="J435" s="21" t="s">
        <v>2218</v>
      </c>
      <c r="K435" s="20" t="s">
        <v>0</v>
      </c>
    </row>
    <row r="436" spans="1:11" x14ac:dyDescent="0.2">
      <c r="A436" s="30" t="s">
        <v>2821</v>
      </c>
      <c r="B436" s="21" t="s">
        <v>2363</v>
      </c>
      <c r="C436" s="21" t="s">
        <v>2365</v>
      </c>
      <c r="D436" s="21">
        <v>2025</v>
      </c>
      <c r="E436" s="21" t="s">
        <v>930</v>
      </c>
      <c r="F436" s="21" t="s">
        <v>469</v>
      </c>
      <c r="G436" s="21" t="str">
        <f>HYPERLINK("http://dx.doi.org/10.1039/d4gc05663a","http://dx.doi.org/10.1039/d4gc05663a")</f>
        <v>http://dx.doi.org/10.1039/d4gc05663a</v>
      </c>
      <c r="H436" s="21" t="s">
        <v>2826</v>
      </c>
      <c r="I436" s="21" t="s">
        <v>2835</v>
      </c>
      <c r="J436" s="21" t="s">
        <v>2218</v>
      </c>
      <c r="K436" s="20" t="s">
        <v>0</v>
      </c>
    </row>
    <row r="437" spans="1:11" x14ac:dyDescent="0.2">
      <c r="A437" s="30" t="s">
        <v>1569</v>
      </c>
      <c r="B437" s="21" t="s">
        <v>1821</v>
      </c>
      <c r="C437" s="21" t="s">
        <v>1405</v>
      </c>
      <c r="D437" s="21">
        <v>2017</v>
      </c>
      <c r="E437" s="21" t="s">
        <v>925</v>
      </c>
      <c r="F437" s="21" t="s">
        <v>144</v>
      </c>
      <c r="G437" s="21" t="str">
        <f>HYPERLINK("http://dx.doi.org/10.1016/j.jclepro.2017.02.106","http://dx.doi.org/10.1016/j.jclepro.2017.02.106")</f>
        <v>http://dx.doi.org/10.1016/j.jclepro.2017.02.106</v>
      </c>
      <c r="H437" s="21" t="s">
        <v>2826</v>
      </c>
      <c r="I437" s="21" t="s">
        <v>2836</v>
      </c>
      <c r="J437" s="21" t="s">
        <v>2830</v>
      </c>
      <c r="K437" s="20" t="s">
        <v>0</v>
      </c>
    </row>
    <row r="438" spans="1:11" x14ac:dyDescent="0.2">
      <c r="A438" s="30" t="s">
        <v>2821</v>
      </c>
      <c r="B438" s="21" t="s">
        <v>2199</v>
      </c>
      <c r="C438" s="21" t="s">
        <v>2200</v>
      </c>
      <c r="D438" s="21">
        <v>2024</v>
      </c>
      <c r="E438" s="21" t="s">
        <v>2201</v>
      </c>
      <c r="F438" s="21" t="s">
        <v>2202</v>
      </c>
      <c r="G438" s="21" t="s">
        <v>2205</v>
      </c>
      <c r="H438" s="21" t="s">
        <v>2826</v>
      </c>
      <c r="I438" s="21" t="s">
        <v>2836</v>
      </c>
      <c r="J438" s="21" t="s">
        <v>2830</v>
      </c>
      <c r="K438" s="20" t="s">
        <v>0</v>
      </c>
    </row>
    <row r="439" spans="1:11" x14ac:dyDescent="0.2">
      <c r="A439" s="30" t="s">
        <v>2821</v>
      </c>
      <c r="B439" s="21" t="s">
        <v>1178</v>
      </c>
      <c r="C439" s="21" t="s">
        <v>1087</v>
      </c>
      <c r="D439" s="21">
        <v>2024</v>
      </c>
      <c r="E439" s="21" t="s">
        <v>923</v>
      </c>
      <c r="F439" s="21" t="s">
        <v>1179</v>
      </c>
      <c r="G439" s="21" t="str">
        <f>HYPERLINK("http://dx.doi.org/10.1002/wer.11070","http://dx.doi.org/10.1002/wer.11070")</f>
        <v>http://dx.doi.org/10.1002/wer.11070</v>
      </c>
      <c r="H439" s="21" t="s">
        <v>2826</v>
      </c>
      <c r="I439" s="21" t="s">
        <v>2900</v>
      </c>
      <c r="J439" s="21" t="s">
        <v>2828</v>
      </c>
      <c r="K439" s="20" t="s">
        <v>0</v>
      </c>
    </row>
    <row r="440" spans="1:11" x14ac:dyDescent="0.2">
      <c r="A440" s="30" t="s">
        <v>1569</v>
      </c>
      <c r="B440" s="21" t="s">
        <v>1975</v>
      </c>
      <c r="C440" s="21" t="s">
        <v>1406</v>
      </c>
      <c r="D440" s="21">
        <v>2015</v>
      </c>
      <c r="E440" s="21" t="s">
        <v>928</v>
      </c>
      <c r="F440" s="21" t="s">
        <v>1832</v>
      </c>
      <c r="G440" s="21" t="str">
        <f>HYPERLINK("http://dx.doi.org/10.1016/j.ecolmodel.2015.03.006","http://dx.doi.org/10.1016/j.ecolmodel.2015.03.006")</f>
        <v>http://dx.doi.org/10.1016/j.ecolmodel.2015.03.006</v>
      </c>
      <c r="H440" s="21" t="s">
        <v>2826</v>
      </c>
      <c r="I440" s="21" t="s">
        <v>2835</v>
      </c>
      <c r="J440" s="21" t="s">
        <v>2214</v>
      </c>
      <c r="K440" s="20" t="s">
        <v>0</v>
      </c>
    </row>
    <row r="441" spans="1:11" x14ac:dyDescent="0.2">
      <c r="A441" s="30" t="s">
        <v>2821</v>
      </c>
      <c r="B441" s="21" t="s">
        <v>1244</v>
      </c>
      <c r="C441" s="21" t="s">
        <v>20</v>
      </c>
      <c r="D441" s="21">
        <v>2023</v>
      </c>
      <c r="E441" s="21" t="s">
        <v>928</v>
      </c>
      <c r="F441" s="21" t="s">
        <v>436</v>
      </c>
      <c r="G441" s="21" t="str">
        <f>HYPERLINK("http://dx.doi.org/10.1016/j.ref.2022.11.002","http://dx.doi.org/10.1016/j.ref.2022.11.002")</f>
        <v>http://dx.doi.org/10.1016/j.ref.2022.11.002</v>
      </c>
      <c r="H441" s="21" t="s">
        <v>2825</v>
      </c>
      <c r="I441" s="21" t="s">
        <v>2832</v>
      </c>
      <c r="J441" s="21" t="s">
        <v>2859</v>
      </c>
      <c r="K441" s="20" t="s">
        <v>0</v>
      </c>
    </row>
    <row r="442" spans="1:11" x14ac:dyDescent="0.2">
      <c r="A442" s="30" t="s">
        <v>2821</v>
      </c>
      <c r="B442" s="21" t="s">
        <v>749</v>
      </c>
      <c r="C442" s="21" t="s">
        <v>750</v>
      </c>
      <c r="D442" s="21">
        <v>2024</v>
      </c>
      <c r="E442" s="21" t="s">
        <v>1048</v>
      </c>
      <c r="F442" s="21" t="s">
        <v>751</v>
      </c>
      <c r="G442" s="21" t="str">
        <f>HYPERLINK("http://dx.doi.org/10.1308/rcsann.2023.0015","http://dx.doi.org/10.1308/rcsann.2023.0015")</f>
        <v>http://dx.doi.org/10.1308/rcsann.2023.0015</v>
      </c>
      <c r="H442" s="21" t="s">
        <v>2826</v>
      </c>
      <c r="I442" s="21" t="s">
        <v>2836</v>
      </c>
      <c r="J442" s="21" t="s">
        <v>2830</v>
      </c>
      <c r="K442" s="20" t="s">
        <v>0</v>
      </c>
    </row>
    <row r="443" spans="1:11" x14ac:dyDescent="0.2">
      <c r="A443" s="30" t="s">
        <v>2821</v>
      </c>
      <c r="B443" s="21" t="s">
        <v>2364</v>
      </c>
      <c r="C443" s="21" t="s">
        <v>2366</v>
      </c>
      <c r="D443" s="21">
        <v>2025</v>
      </c>
      <c r="E443" s="21" t="s">
        <v>1038</v>
      </c>
      <c r="F443" s="21" t="s">
        <v>623</v>
      </c>
      <c r="G443" s="21" t="str">
        <f>HYPERLINK("http://dx.doi.org/10.1371/journal.pone.0296611","http://dx.doi.org/10.1371/journal.pone.0296611")</f>
        <v>http://dx.doi.org/10.1371/journal.pone.0296611</v>
      </c>
      <c r="H443" s="21" t="s">
        <v>2826</v>
      </c>
      <c r="I443" s="21" t="s">
        <v>2836</v>
      </c>
      <c r="J443" s="21" t="s">
        <v>2830</v>
      </c>
      <c r="K443" s="20" t="s">
        <v>0</v>
      </c>
    </row>
    <row r="444" spans="1:11" x14ac:dyDescent="0.2">
      <c r="A444" s="30" t="s">
        <v>2821</v>
      </c>
      <c r="B444" s="21" t="s">
        <v>776</v>
      </c>
      <c r="C444" s="21" t="s">
        <v>777</v>
      </c>
      <c r="D444" s="21">
        <v>2020</v>
      </c>
      <c r="E444" s="21" t="s">
        <v>993</v>
      </c>
      <c r="F444" s="21" t="s">
        <v>778</v>
      </c>
      <c r="G444" s="21" t="str">
        <f>HYPERLINK("http://dx.doi.org/10.1016/j.bbi.2020.03.017","http://dx.doi.org/10.1016/j.bbi.2020.03.017")</f>
        <v>http://dx.doi.org/10.1016/j.bbi.2020.03.017</v>
      </c>
      <c r="H444" s="21" t="s">
        <v>2826</v>
      </c>
      <c r="I444" s="21" t="s">
        <v>2836</v>
      </c>
      <c r="J444" s="21" t="s">
        <v>2830</v>
      </c>
      <c r="K444" s="20" t="s">
        <v>0</v>
      </c>
    </row>
    <row r="445" spans="1:11" x14ac:dyDescent="0.2">
      <c r="A445" s="30" t="s">
        <v>2821</v>
      </c>
      <c r="B445" s="21" t="s">
        <v>2380</v>
      </c>
      <c r="C445" s="21" t="s">
        <v>2382</v>
      </c>
      <c r="D445" s="21">
        <v>2025</v>
      </c>
      <c r="E445" s="21" t="s">
        <v>931</v>
      </c>
      <c r="F445" s="21" t="s">
        <v>147</v>
      </c>
      <c r="G445" s="21" t="str">
        <f>HYPERLINK("http://dx.doi.org/10.1016/j.trd.2025.104887","http://dx.doi.org/10.1016/j.trd.2025.104887")</f>
        <v>http://dx.doi.org/10.1016/j.trd.2025.104887</v>
      </c>
      <c r="H445" s="21" t="s">
        <v>2826</v>
      </c>
      <c r="I445" s="21" t="s">
        <v>2835</v>
      </c>
      <c r="J445" s="21" t="s">
        <v>2218</v>
      </c>
      <c r="K445" s="20" t="s">
        <v>0</v>
      </c>
    </row>
    <row r="446" spans="1:11" x14ac:dyDescent="0.2">
      <c r="A446" s="30" t="s">
        <v>2821</v>
      </c>
      <c r="B446" s="21" t="s">
        <v>448</v>
      </c>
      <c r="C446" s="21" t="s">
        <v>45</v>
      </c>
      <c r="D446" s="21">
        <v>2022</v>
      </c>
      <c r="E446" s="21" t="s">
        <v>954</v>
      </c>
      <c r="F446" s="21" t="s">
        <v>449</v>
      </c>
      <c r="G446" s="21" t="str">
        <f>HYPERLINK("http://dx.doi.org/10.3389/frsus.2022.912676","http://dx.doi.org/10.3389/frsus.2022.912676")</f>
        <v>http://dx.doi.org/10.3389/frsus.2022.912676</v>
      </c>
      <c r="H446" s="21" t="s">
        <v>2826</v>
      </c>
      <c r="I446" s="21" t="s">
        <v>2835</v>
      </c>
      <c r="J446" s="21" t="s">
        <v>2218</v>
      </c>
      <c r="K446" s="20" t="s">
        <v>0</v>
      </c>
    </row>
    <row r="447" spans="1:11" x14ac:dyDescent="0.2">
      <c r="A447" s="30" t="s">
        <v>1569</v>
      </c>
      <c r="B447" s="21" t="s">
        <v>1817</v>
      </c>
      <c r="C447" s="21" t="s">
        <v>1627</v>
      </c>
      <c r="D447" s="21">
        <v>2017</v>
      </c>
      <c r="E447" s="21" t="s">
        <v>931</v>
      </c>
      <c r="F447" s="21" t="s">
        <v>1751</v>
      </c>
      <c r="G447" s="21" t="str">
        <f>HYPERLINK("http://dx.doi.org/10.1016/j.watres.2017.10.016","http://dx.doi.org/10.1016/j.watres.2017.10.016")</f>
        <v>http://dx.doi.org/10.1016/j.watres.2017.10.016</v>
      </c>
      <c r="H447" s="21" t="s">
        <v>2826</v>
      </c>
      <c r="I447" s="21" t="s">
        <v>2835</v>
      </c>
      <c r="J447" s="21" t="s">
        <v>2214</v>
      </c>
      <c r="K447" s="20" t="s">
        <v>0</v>
      </c>
    </row>
    <row r="448" spans="1:11" x14ac:dyDescent="0.2">
      <c r="A448" s="30" t="s">
        <v>2821</v>
      </c>
      <c r="B448" s="21" t="s">
        <v>396</v>
      </c>
      <c r="C448" s="21" t="s">
        <v>21</v>
      </c>
      <c r="D448" s="21">
        <v>2023</v>
      </c>
      <c r="E448" s="21" t="s">
        <v>924</v>
      </c>
      <c r="F448" s="21" t="s">
        <v>357</v>
      </c>
      <c r="G448" s="21" t="str">
        <f>HYPERLINK("http://dx.doi.org/10.1021/acs.est.2c04246","http://dx.doi.org/10.1021/acs.est.2c04246")</f>
        <v>http://dx.doi.org/10.1021/acs.est.2c04246</v>
      </c>
      <c r="H448" s="21" t="s">
        <v>2825</v>
      </c>
      <c r="I448" s="21" t="s">
        <v>2835</v>
      </c>
      <c r="J448" s="21" t="s">
        <v>2218</v>
      </c>
      <c r="K448" s="20" t="s">
        <v>0</v>
      </c>
    </row>
    <row r="449" spans="1:11" x14ac:dyDescent="0.2">
      <c r="A449" s="30" t="s">
        <v>2821</v>
      </c>
      <c r="B449" s="21" t="s">
        <v>266</v>
      </c>
      <c r="C449" s="21" t="s">
        <v>267</v>
      </c>
      <c r="D449" s="21">
        <v>2012</v>
      </c>
      <c r="E449" s="21" t="s">
        <v>923</v>
      </c>
      <c r="F449" s="21" t="s">
        <v>127</v>
      </c>
      <c r="G449" s="21" t="str">
        <f>HYPERLINK("http://dx.doi.org/10.1111/j.1530-9290.2012.00518.x","http://dx.doi.org/10.1111/j.1530-9290.2012.00518.x")</f>
        <v>http://dx.doi.org/10.1111/j.1530-9290.2012.00518.x</v>
      </c>
      <c r="H449" s="21" t="s">
        <v>2826</v>
      </c>
      <c r="I449" s="21" t="s">
        <v>2836</v>
      </c>
      <c r="J449" s="21" t="s">
        <v>2830</v>
      </c>
      <c r="K449" s="20" t="s">
        <v>0</v>
      </c>
    </row>
    <row r="450" spans="1:11" x14ac:dyDescent="0.2">
      <c r="A450" s="30" t="s">
        <v>1569</v>
      </c>
      <c r="B450" s="21" t="s">
        <v>1789</v>
      </c>
      <c r="C450" s="21" t="s">
        <v>1407</v>
      </c>
      <c r="D450" s="21">
        <v>2018</v>
      </c>
      <c r="E450" s="21" t="s">
        <v>931</v>
      </c>
      <c r="F450" s="21" t="s">
        <v>329</v>
      </c>
      <c r="G450" s="21" t="str">
        <f>HYPERLINK("http://dx.doi.org/10.1016/j.wasman.2018.02.018","http://dx.doi.org/10.1016/j.wasman.2018.02.018")</f>
        <v>http://dx.doi.org/10.1016/j.wasman.2018.02.018</v>
      </c>
      <c r="H450" s="21" t="s">
        <v>2826</v>
      </c>
      <c r="I450" s="21" t="s">
        <v>2832</v>
      </c>
      <c r="J450" s="21" t="s">
        <v>2847</v>
      </c>
      <c r="K450" s="20" t="s">
        <v>0</v>
      </c>
    </row>
    <row r="451" spans="1:11" x14ac:dyDescent="0.2">
      <c r="A451" s="30" t="s">
        <v>1569</v>
      </c>
      <c r="B451" s="21" t="s">
        <v>2160</v>
      </c>
      <c r="C451" s="21" t="s">
        <v>1408</v>
      </c>
      <c r="D451" s="21">
        <v>2013</v>
      </c>
      <c r="E451" s="21" t="s">
        <v>2158</v>
      </c>
      <c r="F451" s="21" t="s">
        <v>2159</v>
      </c>
      <c r="G451" s="21" t="s">
        <v>2147</v>
      </c>
      <c r="H451" s="21" t="s">
        <v>2826</v>
      </c>
      <c r="I451" s="21" t="s">
        <v>2835</v>
      </c>
      <c r="J451" s="21" t="s">
        <v>2218</v>
      </c>
      <c r="K451" s="20" t="s">
        <v>0</v>
      </c>
    </row>
    <row r="452" spans="1:11" x14ac:dyDescent="0.2">
      <c r="A452" s="30" t="s">
        <v>2821</v>
      </c>
      <c r="B452" s="21" t="s">
        <v>722</v>
      </c>
      <c r="C452" s="21" t="s">
        <v>723</v>
      </c>
      <c r="D452" s="21">
        <v>2018</v>
      </c>
      <c r="E452" s="21" t="s">
        <v>930</v>
      </c>
      <c r="F452" s="21" t="s">
        <v>220</v>
      </c>
      <c r="G452" s="21" t="str">
        <f>HYPERLINK("http://dx.doi.org/10.1039/c7ee03116e","http://dx.doi.org/10.1039/c7ee03116e")</f>
        <v>http://dx.doi.org/10.1039/c7ee03116e</v>
      </c>
      <c r="H452" s="21" t="s">
        <v>2826</v>
      </c>
      <c r="I452" s="21" t="s">
        <v>2832</v>
      </c>
      <c r="J452" s="21" t="s">
        <v>2213</v>
      </c>
      <c r="K452" s="20" t="s">
        <v>0</v>
      </c>
    </row>
    <row r="453" spans="1:11" x14ac:dyDescent="0.2">
      <c r="A453" s="30" t="s">
        <v>2821</v>
      </c>
      <c r="B453" s="21" t="s">
        <v>839</v>
      </c>
      <c r="C453" s="21" t="s">
        <v>840</v>
      </c>
      <c r="D453" s="21">
        <v>2021</v>
      </c>
      <c r="E453" s="21" t="s">
        <v>1040</v>
      </c>
      <c r="F453" s="21" t="s">
        <v>841</v>
      </c>
      <c r="G453" s="21" t="str">
        <f>HYPERLINK("http://dx.doi.org/10.1093/humrep/deab164","http://dx.doi.org/10.1093/humrep/deab164")</f>
        <v>http://dx.doi.org/10.1093/humrep/deab164</v>
      </c>
      <c r="H453" s="21" t="s">
        <v>2826</v>
      </c>
      <c r="I453" s="21" t="s">
        <v>2836</v>
      </c>
      <c r="J453" s="21" t="s">
        <v>2830</v>
      </c>
      <c r="K453" s="20" t="s">
        <v>0</v>
      </c>
    </row>
    <row r="454" spans="1:11" x14ac:dyDescent="0.2">
      <c r="A454" s="30" t="s">
        <v>2821</v>
      </c>
      <c r="B454" s="21" t="s">
        <v>493</v>
      </c>
      <c r="C454" s="21" t="s">
        <v>494</v>
      </c>
      <c r="D454" s="21">
        <v>2024</v>
      </c>
      <c r="E454" s="21" t="s">
        <v>954</v>
      </c>
      <c r="F454" s="21" t="s">
        <v>495</v>
      </c>
      <c r="G454" s="21" t="str">
        <f>HYPERLINK("http://dx.doi.org/10.3389/fsurg.2024.1300625","http://dx.doi.org/10.3389/fsurg.2024.1300625")</f>
        <v>http://dx.doi.org/10.3389/fsurg.2024.1300625</v>
      </c>
      <c r="H454" s="21" t="s">
        <v>2826</v>
      </c>
      <c r="I454" s="21" t="s">
        <v>2836</v>
      </c>
      <c r="J454" s="21" t="s">
        <v>2830</v>
      </c>
      <c r="K454" s="20" t="s">
        <v>0</v>
      </c>
    </row>
    <row r="455" spans="1:11" x14ac:dyDescent="0.2">
      <c r="A455" s="30" t="s">
        <v>1569</v>
      </c>
      <c r="B455" s="21" t="s">
        <v>1734</v>
      </c>
      <c r="C455" s="21" t="s">
        <v>1616</v>
      </c>
      <c r="D455" s="21">
        <v>2019</v>
      </c>
      <c r="E455" s="21" t="s">
        <v>931</v>
      </c>
      <c r="F455" s="21" t="s">
        <v>181</v>
      </c>
      <c r="G455" s="21" t="str">
        <f>HYPERLINK("http://dx.doi.org/10.1016/j.buildenv.2018.12.034","http://dx.doi.org/10.1016/j.buildenv.2018.12.034")</f>
        <v>http://dx.doi.org/10.1016/j.buildenv.2018.12.034</v>
      </c>
      <c r="H455" s="21" t="s">
        <v>2826</v>
      </c>
      <c r="I455" s="21" t="s">
        <v>2835</v>
      </c>
      <c r="J455" s="21" t="s">
        <v>2215</v>
      </c>
      <c r="K455" s="20" t="s">
        <v>0</v>
      </c>
    </row>
    <row r="456" spans="1:11" x14ac:dyDescent="0.2">
      <c r="A456" s="30" t="s">
        <v>2821</v>
      </c>
      <c r="B456" s="21" t="s">
        <v>1133</v>
      </c>
      <c r="C456" s="21" t="s">
        <v>1134</v>
      </c>
      <c r="D456" s="21">
        <v>2021</v>
      </c>
      <c r="E456" s="21" t="s">
        <v>929</v>
      </c>
      <c r="F456" s="21" t="s">
        <v>1135</v>
      </c>
      <c r="G456" s="21" t="str">
        <f>HYPERLINK("http://dx.doi.org/10.1007/s13178-020-00517-y","http://dx.doi.org/10.1007/s13178-020-00517-y")</f>
        <v>http://dx.doi.org/10.1007/s13178-020-00517-y</v>
      </c>
      <c r="H456" s="21" t="s">
        <v>2826</v>
      </c>
      <c r="I456" s="21" t="s">
        <v>2836</v>
      </c>
      <c r="J456" s="21" t="s">
        <v>2830</v>
      </c>
      <c r="K456" s="20" t="s">
        <v>0</v>
      </c>
    </row>
    <row r="457" spans="1:11" x14ac:dyDescent="0.2">
      <c r="A457" s="30" t="s">
        <v>2821</v>
      </c>
      <c r="B457" s="21" t="s">
        <v>355</v>
      </c>
      <c r="C457" s="21" t="s">
        <v>356</v>
      </c>
      <c r="D457" s="21">
        <v>2019</v>
      </c>
      <c r="E457" s="21" t="s">
        <v>924</v>
      </c>
      <c r="F457" s="21" t="s">
        <v>357</v>
      </c>
      <c r="G457" s="21" t="str">
        <f>HYPERLINK("http://dx.doi.org/10.1021/acs.est.8b04071","http://dx.doi.org/10.1021/acs.est.8b04071")</f>
        <v>http://dx.doi.org/10.1021/acs.est.8b04071</v>
      </c>
      <c r="H457" s="21" t="s">
        <v>2826</v>
      </c>
      <c r="I457" s="21" t="s">
        <v>2835</v>
      </c>
      <c r="J457" s="21" t="s">
        <v>2218</v>
      </c>
      <c r="K457" s="20" t="s">
        <v>0</v>
      </c>
    </row>
    <row r="458" spans="1:11" x14ac:dyDescent="0.2">
      <c r="A458" s="30" t="s">
        <v>1569</v>
      </c>
      <c r="B458" s="21" t="s">
        <v>1790</v>
      </c>
      <c r="C458" s="21" t="s">
        <v>1625</v>
      </c>
      <c r="D458" s="21">
        <v>2018</v>
      </c>
      <c r="E458" s="21" t="s">
        <v>41</v>
      </c>
      <c r="F458" s="21" t="s">
        <v>90</v>
      </c>
      <c r="G458" s="21" t="str">
        <f>HYPERLINK("http://dx.doi.org/10.3390/en11051203","http://dx.doi.org/10.3390/en11051203")</f>
        <v>http://dx.doi.org/10.3390/en11051203</v>
      </c>
      <c r="H458" s="21" t="s">
        <v>1230</v>
      </c>
      <c r="I458" s="21" t="s">
        <v>2262</v>
      </c>
      <c r="J458" s="21" t="s">
        <v>2262</v>
      </c>
      <c r="K458" s="20" t="s">
        <v>0</v>
      </c>
    </row>
    <row r="459" spans="1:11" x14ac:dyDescent="0.2">
      <c r="A459" s="30" t="s">
        <v>2821</v>
      </c>
      <c r="B459" s="21" t="s">
        <v>2245</v>
      </c>
      <c r="C459" s="21" t="s">
        <v>70</v>
      </c>
      <c r="D459" s="21">
        <v>2024</v>
      </c>
      <c r="E459" s="21" t="s">
        <v>923</v>
      </c>
      <c r="F459" s="21" t="s">
        <v>127</v>
      </c>
      <c r="G459" s="21" t="str">
        <f>HYPERLINK("http://dx.doi.org/10.1111/jiec.13561","http://dx.doi.org/10.1111/jiec.13561")</f>
        <v>http://dx.doi.org/10.1111/jiec.13561</v>
      </c>
      <c r="H459" s="21" t="s">
        <v>1230</v>
      </c>
      <c r="I459" s="21" t="s">
        <v>2262</v>
      </c>
      <c r="J459" s="21" t="s">
        <v>2262</v>
      </c>
      <c r="K459" s="20" t="s">
        <v>0</v>
      </c>
    </row>
    <row r="460" spans="1:11" x14ac:dyDescent="0.2">
      <c r="A460" s="30" t="s">
        <v>1569</v>
      </c>
      <c r="B460" s="21" t="s">
        <v>2093</v>
      </c>
      <c r="C460" s="21" t="s">
        <v>1409</v>
      </c>
      <c r="D460" s="21">
        <v>2010</v>
      </c>
      <c r="E460" s="21" t="s">
        <v>1034</v>
      </c>
      <c r="F460" s="21" t="s">
        <v>1972</v>
      </c>
      <c r="G460" s="21" t="str">
        <f>HYPERLINK("http://dx.doi.org/10.1080/19438151003774463","http://dx.doi.org/10.1080/19438151003774463")</f>
        <v>http://dx.doi.org/10.1080/19438151003774463</v>
      </c>
      <c r="H460" s="21" t="s">
        <v>2825</v>
      </c>
      <c r="I460" s="21" t="s">
        <v>2834</v>
      </c>
      <c r="J460" s="21" t="s">
        <v>2840</v>
      </c>
      <c r="K460" s="20" t="s">
        <v>0</v>
      </c>
    </row>
    <row r="461" spans="1:11" x14ac:dyDescent="0.2">
      <c r="A461" s="30" t="s">
        <v>1569</v>
      </c>
      <c r="B461" s="21" t="s">
        <v>2004</v>
      </c>
      <c r="C461" s="21" t="s">
        <v>1410</v>
      </c>
      <c r="D461" s="21">
        <v>2014</v>
      </c>
      <c r="E461" s="21" t="s">
        <v>931</v>
      </c>
      <c r="F461" s="21" t="s">
        <v>138</v>
      </c>
      <c r="G461" s="21" t="str">
        <f>HYPERLINK("http://dx.doi.org/10.1016/j.ijhydene.2014.05.142","http://dx.doi.org/10.1016/j.ijhydene.2014.05.142")</f>
        <v>http://dx.doi.org/10.1016/j.ijhydene.2014.05.142</v>
      </c>
      <c r="H461" s="21" t="s">
        <v>2825</v>
      </c>
      <c r="I461" s="21" t="s">
        <v>2833</v>
      </c>
      <c r="J461" s="21" t="s">
        <v>2827</v>
      </c>
      <c r="K461" s="20" t="s">
        <v>0</v>
      </c>
    </row>
    <row r="462" spans="1:11" x14ac:dyDescent="0.2">
      <c r="A462" s="30" t="s">
        <v>2821</v>
      </c>
      <c r="B462" s="21" t="s">
        <v>770</v>
      </c>
      <c r="C462" s="21" t="s">
        <v>771</v>
      </c>
      <c r="D462" s="21">
        <v>2021</v>
      </c>
      <c r="E462" s="21" t="s">
        <v>1026</v>
      </c>
      <c r="F462" s="21" t="s">
        <v>772</v>
      </c>
      <c r="G462" s="21" t="str">
        <f>HYPERLINK("http://dx.doi.org/10.1186/s12967-021-03051-6","http://dx.doi.org/10.1186/s12967-021-03051-6")</f>
        <v>http://dx.doi.org/10.1186/s12967-021-03051-6</v>
      </c>
      <c r="H462" s="21" t="s">
        <v>2826</v>
      </c>
      <c r="I462" s="21" t="s">
        <v>2836</v>
      </c>
      <c r="J462" s="21" t="s">
        <v>2830</v>
      </c>
      <c r="K462" s="20" t="s">
        <v>0</v>
      </c>
    </row>
    <row r="463" spans="1:11" x14ac:dyDescent="0.2">
      <c r="A463" s="30" t="s">
        <v>1569</v>
      </c>
      <c r="B463" s="21" t="s">
        <v>2091</v>
      </c>
      <c r="C463" s="21" t="s">
        <v>1411</v>
      </c>
      <c r="D463" s="21">
        <v>2010</v>
      </c>
      <c r="E463" s="21" t="s">
        <v>931</v>
      </c>
      <c r="F463" s="21" t="s">
        <v>138</v>
      </c>
      <c r="G463" s="21" t="str">
        <f>HYPERLINK("http://dx.doi.org/10.1016/j.ijhydene.2009.12.082","http://dx.doi.org/10.1016/j.ijhydene.2009.12.082")</f>
        <v>http://dx.doi.org/10.1016/j.ijhydene.2009.12.082</v>
      </c>
      <c r="H463" s="21" t="s">
        <v>2825</v>
      </c>
      <c r="I463" s="21" t="s">
        <v>2832</v>
      </c>
      <c r="J463" s="21" t="s">
        <v>2884</v>
      </c>
      <c r="K463" s="20" t="s">
        <v>0</v>
      </c>
    </row>
    <row r="464" spans="1:11" x14ac:dyDescent="0.2">
      <c r="A464" s="30" t="s">
        <v>1569</v>
      </c>
      <c r="B464" s="21" t="s">
        <v>1978</v>
      </c>
      <c r="C464" s="21" t="s">
        <v>1412</v>
      </c>
      <c r="D464" s="21">
        <v>2015</v>
      </c>
      <c r="E464" s="21" t="s">
        <v>923</v>
      </c>
      <c r="F464" s="21" t="s">
        <v>127</v>
      </c>
      <c r="G464" s="21" t="str">
        <f>HYPERLINK("http://dx.doi.org/10.1111/jiec.12188","http://dx.doi.org/10.1111/jiec.12188")</f>
        <v>http://dx.doi.org/10.1111/jiec.12188</v>
      </c>
      <c r="H464" s="21" t="s">
        <v>2826</v>
      </c>
      <c r="I464" s="21" t="s">
        <v>2832</v>
      </c>
      <c r="J464" s="21" t="s">
        <v>2847</v>
      </c>
      <c r="K464" s="20" t="s">
        <v>0</v>
      </c>
    </row>
    <row r="465" spans="1:11" x14ac:dyDescent="0.2">
      <c r="A465" s="30" t="s">
        <v>1569</v>
      </c>
      <c r="B465" s="21" t="s">
        <v>1722</v>
      </c>
      <c r="C465" s="21" t="s">
        <v>1607</v>
      </c>
      <c r="D465" s="21">
        <v>2019</v>
      </c>
      <c r="E465" s="21" t="s">
        <v>925</v>
      </c>
      <c r="F465" s="21" t="s">
        <v>167</v>
      </c>
      <c r="G465" s="21" t="str">
        <f>HYPERLINK("http://dx.doi.org/10.1016/j.apenergy.2019.01.058","http://dx.doi.org/10.1016/j.apenergy.2019.01.058")</f>
        <v>http://dx.doi.org/10.1016/j.apenergy.2019.01.058</v>
      </c>
      <c r="H465" s="21" t="s">
        <v>2826</v>
      </c>
      <c r="I465" s="21" t="s">
        <v>2835</v>
      </c>
      <c r="J465" s="21" t="s">
        <v>2219</v>
      </c>
      <c r="K465" s="20" t="s">
        <v>0</v>
      </c>
    </row>
    <row r="466" spans="1:11" x14ac:dyDescent="0.2">
      <c r="A466" s="30" t="s">
        <v>2821</v>
      </c>
      <c r="B466" s="21" t="s">
        <v>619</v>
      </c>
      <c r="C466" s="21" t="s">
        <v>620</v>
      </c>
      <c r="D466" s="21">
        <v>2019</v>
      </c>
      <c r="E466" s="21" t="s">
        <v>995</v>
      </c>
      <c r="F466" s="21" t="s">
        <v>213</v>
      </c>
      <c r="G466" s="21" t="str">
        <f>HYPERLINK("http://dx.doi.org/10.1016/j.resconrec.2018.10.008","http://dx.doi.org/10.1016/j.resconrec.2018.10.008")</f>
        <v>http://dx.doi.org/10.1016/j.resconrec.2018.10.008</v>
      </c>
      <c r="H466" s="21" t="s">
        <v>2826</v>
      </c>
      <c r="I466" s="21" t="s">
        <v>2833</v>
      </c>
      <c r="J466" s="21" t="s">
        <v>2827</v>
      </c>
      <c r="K466" s="20" t="s">
        <v>0</v>
      </c>
    </row>
    <row r="467" spans="1:11" x14ac:dyDescent="0.2">
      <c r="A467" s="30" t="s">
        <v>1569</v>
      </c>
      <c r="B467" s="21" t="s">
        <v>2096</v>
      </c>
      <c r="C467" s="21" t="s">
        <v>1413</v>
      </c>
      <c r="D467" s="21">
        <v>2009</v>
      </c>
      <c r="E467" s="21" t="s">
        <v>925</v>
      </c>
      <c r="F467" s="21" t="s">
        <v>42</v>
      </c>
      <c r="G467" s="21" t="str">
        <f>HYPERLINK("http://dx.doi.org/10.1016/j.futures.2009.01.006","http://dx.doi.org/10.1016/j.futures.2009.01.006")</f>
        <v>http://dx.doi.org/10.1016/j.futures.2009.01.006</v>
      </c>
      <c r="H467" s="21" t="s">
        <v>2826</v>
      </c>
      <c r="I467" s="21" t="s">
        <v>2832</v>
      </c>
      <c r="J467" s="21" t="s">
        <v>2847</v>
      </c>
      <c r="K467" s="20" t="s">
        <v>0</v>
      </c>
    </row>
    <row r="468" spans="1:11" x14ac:dyDescent="0.2">
      <c r="A468" s="30" t="s">
        <v>1569</v>
      </c>
      <c r="B468" s="21" t="s">
        <v>1941</v>
      </c>
      <c r="C468" s="21" t="s">
        <v>1414</v>
      </c>
      <c r="D468" s="21">
        <v>2016</v>
      </c>
      <c r="E468" s="21" t="s">
        <v>928</v>
      </c>
      <c r="F468" s="21" t="s">
        <v>1942</v>
      </c>
      <c r="G468" s="21" t="str">
        <f>HYPERLINK("http://dx.doi.org/10.3382/ps/pev323","http://dx.doi.org/10.3382/ps/pev323")</f>
        <v>http://dx.doi.org/10.3382/ps/pev323</v>
      </c>
      <c r="H468" s="21" t="s">
        <v>2826</v>
      </c>
      <c r="I468" s="21" t="s">
        <v>2835</v>
      </c>
      <c r="J468" s="21" t="s">
        <v>2218</v>
      </c>
      <c r="K468" s="20" t="s">
        <v>0</v>
      </c>
    </row>
    <row r="469" spans="1:11" x14ac:dyDescent="0.2">
      <c r="A469" s="30" t="s">
        <v>2821</v>
      </c>
      <c r="B469" s="21" t="s">
        <v>2306</v>
      </c>
      <c r="C469" s="21" t="s">
        <v>2307</v>
      </c>
      <c r="D469" s="21">
        <v>2025</v>
      </c>
      <c r="E469" s="21" t="s">
        <v>925</v>
      </c>
      <c r="F469" s="21" t="s">
        <v>733</v>
      </c>
      <c r="G469" s="21" t="str">
        <f>HYPERLINK("http://dx.doi.org/10.1016/j.aei.2025.103179","http://dx.doi.org/10.1016/j.aei.2025.103179")</f>
        <v>http://dx.doi.org/10.1016/j.aei.2025.103179</v>
      </c>
      <c r="H469" s="21" t="s">
        <v>2826</v>
      </c>
      <c r="I469" s="21" t="s">
        <v>2900</v>
      </c>
      <c r="J469" s="21" t="s">
        <v>2828</v>
      </c>
      <c r="K469" s="20" t="s">
        <v>0</v>
      </c>
    </row>
    <row r="470" spans="1:11" x14ac:dyDescent="0.2">
      <c r="A470" s="30" t="s">
        <v>1569</v>
      </c>
      <c r="B470" s="21" t="s">
        <v>1769</v>
      </c>
      <c r="C470" s="21" t="s">
        <v>1415</v>
      </c>
      <c r="D470" s="21">
        <v>2018</v>
      </c>
      <c r="E470" s="21" t="s">
        <v>41</v>
      </c>
      <c r="F470" s="21" t="s">
        <v>54</v>
      </c>
      <c r="G470" s="21" t="str">
        <f>HYPERLINK("http://dx.doi.org/10.3390/su10082745","http://dx.doi.org/10.3390/su10082745")</f>
        <v>http://dx.doi.org/10.3390/su10082745</v>
      </c>
      <c r="H470" s="21" t="s">
        <v>2826</v>
      </c>
      <c r="I470" s="21" t="s">
        <v>2835</v>
      </c>
      <c r="J470" s="21" t="s">
        <v>2218</v>
      </c>
      <c r="K470" s="20" t="s">
        <v>0</v>
      </c>
    </row>
    <row r="471" spans="1:11" x14ac:dyDescent="0.2">
      <c r="A471" s="30" t="s">
        <v>2821</v>
      </c>
      <c r="B471" s="21" t="s">
        <v>325</v>
      </c>
      <c r="C471" s="21" t="s">
        <v>326</v>
      </c>
      <c r="D471" s="21">
        <v>2017</v>
      </c>
      <c r="E471" s="21" t="s">
        <v>925</v>
      </c>
      <c r="F471" s="21" t="s">
        <v>167</v>
      </c>
      <c r="G471" s="21" t="str">
        <f>HYPERLINK("http://dx.doi.org/10.1016/j.apenergy.2017.04.040","http://dx.doi.org/10.1016/j.apenergy.2017.04.040")</f>
        <v>http://dx.doi.org/10.1016/j.apenergy.2017.04.040</v>
      </c>
      <c r="H471" s="21" t="s">
        <v>2825</v>
      </c>
      <c r="I471" s="21" t="s">
        <v>2835</v>
      </c>
      <c r="J471" s="21" t="s">
        <v>2218</v>
      </c>
      <c r="K471" s="20" t="s">
        <v>0</v>
      </c>
    </row>
    <row r="472" spans="1:11" x14ac:dyDescent="0.2">
      <c r="A472" s="30" t="s">
        <v>1569</v>
      </c>
      <c r="B472" s="21" t="s">
        <v>2025</v>
      </c>
      <c r="C472" s="21" t="s">
        <v>1416</v>
      </c>
      <c r="D472" s="21">
        <v>2013</v>
      </c>
      <c r="E472" s="21" t="s">
        <v>925</v>
      </c>
      <c r="F472" s="21" t="s">
        <v>1806</v>
      </c>
      <c r="G472" s="21" t="str">
        <f>HYPERLINK("http://dx.doi.org/10.1016/j.envsoft.2013.08.007","http://dx.doi.org/10.1016/j.envsoft.2013.08.007")</f>
        <v>http://dx.doi.org/10.1016/j.envsoft.2013.08.007</v>
      </c>
      <c r="H472" s="21" t="s">
        <v>2825</v>
      </c>
      <c r="I472" s="21" t="s">
        <v>2832</v>
      </c>
      <c r="J472" s="21" t="s">
        <v>2878</v>
      </c>
      <c r="K472" s="20" t="s">
        <v>0</v>
      </c>
    </row>
    <row r="473" spans="1:11" x14ac:dyDescent="0.2">
      <c r="A473" s="30" t="s">
        <v>1569</v>
      </c>
      <c r="B473" s="21" t="s">
        <v>2025</v>
      </c>
      <c r="C473" s="21" t="s">
        <v>1417</v>
      </c>
      <c r="D473" s="21">
        <v>2014</v>
      </c>
      <c r="E473" s="21" t="s">
        <v>924</v>
      </c>
      <c r="F473" s="21" t="s">
        <v>357</v>
      </c>
      <c r="G473" s="21" t="str">
        <f>HYPERLINK("http://dx.doi.org/10.1021/es500052h","http://dx.doi.org/10.1021/es500052h")</f>
        <v>http://dx.doi.org/10.1021/es500052h</v>
      </c>
      <c r="H473" s="21" t="s">
        <v>2826</v>
      </c>
      <c r="I473" s="21" t="s">
        <v>2835</v>
      </c>
      <c r="J473" s="21" t="s">
        <v>2214</v>
      </c>
      <c r="K473" s="20" t="s">
        <v>0</v>
      </c>
    </row>
    <row r="474" spans="1:11" x14ac:dyDescent="0.2">
      <c r="A474" s="30" t="s">
        <v>2821</v>
      </c>
      <c r="B474" s="21" t="s">
        <v>587</v>
      </c>
      <c r="C474" s="21" t="s">
        <v>588</v>
      </c>
      <c r="D474" s="21">
        <v>1994</v>
      </c>
      <c r="E474" s="21" t="s">
        <v>1000</v>
      </c>
      <c r="F474" s="21" t="s">
        <v>589</v>
      </c>
      <c r="G474" s="21" t="str">
        <f>HYPERLINK("http://dx.doi.org/10.1073/pnas.91.23.10873","http://dx.doi.org/10.1073/pnas.91.23.10873")</f>
        <v>http://dx.doi.org/10.1073/pnas.91.23.10873</v>
      </c>
      <c r="H474" s="21" t="s">
        <v>2826</v>
      </c>
      <c r="I474" s="21" t="s">
        <v>2836</v>
      </c>
      <c r="J474" s="21" t="s">
        <v>2830</v>
      </c>
      <c r="K474" s="20" t="s">
        <v>0</v>
      </c>
    </row>
    <row r="475" spans="1:11" x14ac:dyDescent="0.2">
      <c r="A475" s="30" t="s">
        <v>2821</v>
      </c>
      <c r="B475" s="21" t="s">
        <v>2341</v>
      </c>
      <c r="C475" s="21" t="s">
        <v>2345</v>
      </c>
      <c r="D475" s="21">
        <v>2025</v>
      </c>
      <c r="E475" s="21" t="s">
        <v>956</v>
      </c>
      <c r="F475" s="21" t="s">
        <v>2349</v>
      </c>
      <c r="G475" s="21" t="str">
        <f>HYPERLINK("http://dx.doi.org/10.1038/s43247-025-02056-z","http://dx.doi.org/10.1038/s43247-025-02056-z")</f>
        <v>http://dx.doi.org/10.1038/s43247-025-02056-z</v>
      </c>
      <c r="H475" s="21" t="s">
        <v>2826</v>
      </c>
      <c r="I475" s="21" t="s">
        <v>2835</v>
      </c>
      <c r="J475" s="21" t="s">
        <v>2218</v>
      </c>
      <c r="K475" s="20" t="s">
        <v>0</v>
      </c>
    </row>
    <row r="476" spans="1:11" x14ac:dyDescent="0.2">
      <c r="A476" s="30" t="s">
        <v>2821</v>
      </c>
      <c r="B476" s="21" t="s">
        <v>131</v>
      </c>
      <c r="C476" s="21" t="s">
        <v>132</v>
      </c>
      <c r="D476" s="21">
        <v>2024</v>
      </c>
      <c r="E476" s="21" t="s">
        <v>928</v>
      </c>
      <c r="F476" s="21" t="s">
        <v>133</v>
      </c>
      <c r="G476" s="21" t="str">
        <f>HYPERLINK("http://dx.doi.org/10.1016/j.jobe.2024.109140","http://dx.doi.org/10.1016/j.jobe.2024.109140")</f>
        <v>http://dx.doi.org/10.1016/j.jobe.2024.109140</v>
      </c>
      <c r="H476" s="21" t="s">
        <v>2826</v>
      </c>
      <c r="I476" s="21" t="s">
        <v>2832</v>
      </c>
      <c r="J476" s="21" t="s">
        <v>2213</v>
      </c>
      <c r="K476" s="20" t="s">
        <v>0</v>
      </c>
    </row>
    <row r="477" spans="1:11" x14ac:dyDescent="0.2">
      <c r="A477" s="30" t="s">
        <v>2821</v>
      </c>
      <c r="B477" s="21" t="s">
        <v>697</v>
      </c>
      <c r="C477" s="21" t="s">
        <v>698</v>
      </c>
      <c r="D477" s="21">
        <v>2023</v>
      </c>
      <c r="E477" s="21" t="s">
        <v>934</v>
      </c>
      <c r="F477" s="21" t="s">
        <v>304</v>
      </c>
      <c r="G477" s="21" t="str">
        <f>HYPERLINK("http://dx.doi.org/10.1016/j.enbuild.2023.113366","http://dx.doi.org/10.1016/j.enbuild.2023.113366")</f>
        <v>http://dx.doi.org/10.1016/j.enbuild.2023.113366</v>
      </c>
      <c r="H477" s="21" t="s">
        <v>2826</v>
      </c>
      <c r="I477" s="21" t="s">
        <v>2833</v>
      </c>
      <c r="J477" s="21" t="s">
        <v>2827</v>
      </c>
      <c r="K477" s="20" t="s">
        <v>0</v>
      </c>
    </row>
    <row r="478" spans="1:11" x14ac:dyDescent="0.2">
      <c r="A478" s="30" t="s">
        <v>1569</v>
      </c>
      <c r="B478" s="21" t="s">
        <v>1221</v>
      </c>
      <c r="C478" s="21" t="s">
        <v>107</v>
      </c>
      <c r="D478" s="21">
        <v>2015</v>
      </c>
      <c r="E478" s="21" t="s">
        <v>923</v>
      </c>
      <c r="F478" s="21" t="s">
        <v>1222</v>
      </c>
      <c r="G478" s="21" t="str">
        <f>HYPERLINK("http://dx.doi.org/10.1111/1477-8947.12081","http://dx.doi.org/10.1111/1477-8947.12081")</f>
        <v>http://dx.doi.org/10.1111/1477-8947.12081</v>
      </c>
      <c r="H478" s="21" t="s">
        <v>2825</v>
      </c>
      <c r="I478" s="21" t="s">
        <v>2209</v>
      </c>
      <c r="J478" s="21" t="s">
        <v>2880</v>
      </c>
      <c r="K478" s="20" t="s">
        <v>0</v>
      </c>
    </row>
    <row r="479" spans="1:11" x14ac:dyDescent="0.2">
      <c r="A479" s="30" t="s">
        <v>1569</v>
      </c>
      <c r="B479" s="21" t="s">
        <v>1718</v>
      </c>
      <c r="C479" s="21" t="s">
        <v>1603</v>
      </c>
      <c r="D479" s="21">
        <v>2019</v>
      </c>
      <c r="E479" s="21" t="s">
        <v>931</v>
      </c>
      <c r="F479" s="21" t="s">
        <v>329</v>
      </c>
      <c r="G479" s="21" t="str">
        <f>HYPERLINK("http://dx.doi.org/10.1016/j.wasman.2019.04.035","http://dx.doi.org/10.1016/j.wasman.2019.04.035")</f>
        <v>http://dx.doi.org/10.1016/j.wasman.2019.04.035</v>
      </c>
      <c r="H479" s="21" t="s">
        <v>2826</v>
      </c>
      <c r="I479" s="21" t="s">
        <v>2835</v>
      </c>
      <c r="J479" s="21" t="s">
        <v>2214</v>
      </c>
      <c r="K479" s="20" t="s">
        <v>0</v>
      </c>
    </row>
    <row r="480" spans="1:11" x14ac:dyDescent="0.2">
      <c r="A480" s="30" t="s">
        <v>1569</v>
      </c>
      <c r="B480" s="21" t="s">
        <v>1679</v>
      </c>
      <c r="C480" s="21" t="s">
        <v>1574</v>
      </c>
      <c r="D480" s="21">
        <v>2019</v>
      </c>
      <c r="E480" s="21" t="s">
        <v>928</v>
      </c>
      <c r="F480" s="21" t="s">
        <v>213</v>
      </c>
      <c r="G480" s="21" t="str">
        <f>HYPERLINK("http://dx.doi.org/10.1016/j.resconrec.2019.104457","http://dx.doi.org/10.1016/j.resconrec.2019.104457")</f>
        <v>http://dx.doi.org/10.1016/j.resconrec.2019.104457</v>
      </c>
      <c r="H480" s="21" t="s">
        <v>2826</v>
      </c>
      <c r="I480" s="21" t="s">
        <v>2832</v>
      </c>
      <c r="J480" s="21" t="s">
        <v>2847</v>
      </c>
      <c r="K480" s="20" t="s">
        <v>0</v>
      </c>
    </row>
    <row r="481" spans="1:11" x14ac:dyDescent="0.2">
      <c r="A481" s="30" t="s">
        <v>1569</v>
      </c>
      <c r="B481" s="21" t="s">
        <v>2094</v>
      </c>
      <c r="C481" s="21" t="s">
        <v>1418</v>
      </c>
      <c r="D481" s="21">
        <v>2010</v>
      </c>
      <c r="E481" s="21" t="s">
        <v>966</v>
      </c>
      <c r="F481" s="21" t="s">
        <v>1933</v>
      </c>
      <c r="G481" s="21" t="str">
        <f>HYPERLINK("http://dx.doi.org/10.1080/09640568.2010.505783","http://dx.doi.org/10.1080/09640568.2010.505783")</f>
        <v>http://dx.doi.org/10.1080/09640568.2010.505783</v>
      </c>
      <c r="H481" s="21" t="s">
        <v>2826</v>
      </c>
      <c r="I481" s="21" t="s">
        <v>2835</v>
      </c>
      <c r="J481" s="21" t="s">
        <v>2214</v>
      </c>
      <c r="K481" s="20" t="s">
        <v>0</v>
      </c>
    </row>
    <row r="482" spans="1:11" x14ac:dyDescent="0.2">
      <c r="A482" s="30" t="s">
        <v>2821</v>
      </c>
      <c r="B482" s="21" t="s">
        <v>321</v>
      </c>
      <c r="C482" s="21" t="s">
        <v>322</v>
      </c>
      <c r="D482" s="21">
        <v>2012</v>
      </c>
      <c r="E482" s="21" t="s">
        <v>960</v>
      </c>
      <c r="F482" s="21" t="s">
        <v>323</v>
      </c>
      <c r="G482" s="21" t="s">
        <v>2262</v>
      </c>
      <c r="H482" s="21" t="s">
        <v>2826</v>
      </c>
      <c r="I482" s="21" t="s">
        <v>2832</v>
      </c>
      <c r="J482" s="21" t="s">
        <v>2847</v>
      </c>
      <c r="K482" s="20" t="s">
        <v>0</v>
      </c>
    </row>
    <row r="483" spans="1:11" x14ac:dyDescent="0.2">
      <c r="A483" s="30" t="s">
        <v>2821</v>
      </c>
      <c r="B483" s="21" t="s">
        <v>1143</v>
      </c>
      <c r="C483" s="21" t="s">
        <v>1089</v>
      </c>
      <c r="D483" s="21">
        <v>2023</v>
      </c>
      <c r="E483" s="21" t="s">
        <v>923</v>
      </c>
      <c r="F483" s="21" t="s">
        <v>1144</v>
      </c>
      <c r="G483" s="21" t="str">
        <f>HYPERLINK("http://dx.doi.org/10.1002/jobm.202200721","http://dx.doi.org/10.1002/jobm.202200721")</f>
        <v>http://dx.doi.org/10.1002/jobm.202200721</v>
      </c>
      <c r="H483" s="21" t="s">
        <v>2826</v>
      </c>
      <c r="I483" s="21" t="s">
        <v>2836</v>
      </c>
      <c r="J483" s="21" t="s">
        <v>2830</v>
      </c>
      <c r="K483" s="20" t="s">
        <v>0</v>
      </c>
    </row>
    <row r="484" spans="1:11" x14ac:dyDescent="0.2">
      <c r="A484" s="30" t="s">
        <v>1569</v>
      </c>
      <c r="B484" s="21" t="s">
        <v>2115</v>
      </c>
      <c r="C484" s="21" t="s">
        <v>1419</v>
      </c>
      <c r="D484" s="21">
        <v>2007</v>
      </c>
      <c r="E484" s="21" t="s">
        <v>925</v>
      </c>
      <c r="F484" s="21" t="s">
        <v>144</v>
      </c>
      <c r="G484" s="21" t="str">
        <f>HYPERLINK("http://dx.doi.org/10.1016/j.jclepro.2006.06.002","http://dx.doi.org/10.1016/j.jclepro.2006.06.002")</f>
        <v>http://dx.doi.org/10.1016/j.jclepro.2006.06.002</v>
      </c>
      <c r="H484" s="21" t="s">
        <v>2826</v>
      </c>
      <c r="I484" s="21" t="s">
        <v>2835</v>
      </c>
      <c r="J484" s="21" t="s">
        <v>2214</v>
      </c>
      <c r="K484" s="20" t="s">
        <v>0</v>
      </c>
    </row>
    <row r="485" spans="1:11" x14ac:dyDescent="0.2">
      <c r="A485" s="30" t="s">
        <v>1569</v>
      </c>
      <c r="B485" s="21" t="s">
        <v>1770</v>
      </c>
      <c r="C485" s="21" t="s">
        <v>1420</v>
      </c>
      <c r="D485" s="21">
        <v>2018</v>
      </c>
      <c r="E485" s="21" t="s">
        <v>950</v>
      </c>
      <c r="F485" s="21" t="s">
        <v>534</v>
      </c>
      <c r="G485" s="21" t="str">
        <f>HYPERLINK("http://dx.doi.org/10.1016/j.jenvman.2018.04.119","http://dx.doi.org/10.1016/j.jenvman.2018.04.119")</f>
        <v>http://dx.doi.org/10.1016/j.jenvman.2018.04.119</v>
      </c>
      <c r="H485" s="21" t="s">
        <v>2825</v>
      </c>
      <c r="I485" s="21" t="s">
        <v>2833</v>
      </c>
      <c r="J485" s="21" t="s">
        <v>2827</v>
      </c>
      <c r="K485" s="20" t="s">
        <v>0</v>
      </c>
    </row>
    <row r="486" spans="1:11" x14ac:dyDescent="0.2">
      <c r="A486" s="30" t="s">
        <v>1569</v>
      </c>
      <c r="B486" s="21" t="s">
        <v>1838</v>
      </c>
      <c r="C486" s="21" t="s">
        <v>1421</v>
      </c>
      <c r="D486" s="21">
        <v>2017</v>
      </c>
      <c r="E486" s="21" t="s">
        <v>931</v>
      </c>
      <c r="F486" s="21" t="s">
        <v>329</v>
      </c>
      <c r="G486" s="21" t="str">
        <f>HYPERLINK("http://dx.doi.org/10.1016/j.wasman.2017.06.020","http://dx.doi.org/10.1016/j.wasman.2017.06.020")</f>
        <v>http://dx.doi.org/10.1016/j.wasman.2017.06.020</v>
      </c>
      <c r="H486" s="21" t="s">
        <v>2826</v>
      </c>
      <c r="I486" s="21" t="s">
        <v>2835</v>
      </c>
      <c r="J486" s="21" t="s">
        <v>2218</v>
      </c>
      <c r="K486" s="20" t="s">
        <v>0</v>
      </c>
    </row>
    <row r="487" spans="1:11" x14ac:dyDescent="0.2">
      <c r="A487" s="30" t="s">
        <v>1569</v>
      </c>
      <c r="B487" s="21" t="s">
        <v>1837</v>
      </c>
      <c r="C487" s="21" t="s">
        <v>1422</v>
      </c>
      <c r="D487" s="21">
        <v>2017</v>
      </c>
      <c r="E487" s="21" t="s">
        <v>995</v>
      </c>
      <c r="F487" s="21" t="s">
        <v>213</v>
      </c>
      <c r="G487" s="21" t="str">
        <f>HYPERLINK("http://dx.doi.org/10.1016/j.resconrec.2017.06.005","http://dx.doi.org/10.1016/j.resconrec.2017.06.005")</f>
        <v>http://dx.doi.org/10.1016/j.resconrec.2017.06.005</v>
      </c>
      <c r="H487" s="21" t="s">
        <v>2826</v>
      </c>
      <c r="I487" s="21" t="s">
        <v>2832</v>
      </c>
      <c r="J487" s="21" t="s">
        <v>2847</v>
      </c>
      <c r="K487" s="20" t="s">
        <v>0</v>
      </c>
    </row>
    <row r="488" spans="1:11" x14ac:dyDescent="0.2">
      <c r="A488" s="30" t="s">
        <v>2820</v>
      </c>
      <c r="B488" s="21" t="s">
        <v>2275</v>
      </c>
      <c r="C488" s="21" t="s">
        <v>2276</v>
      </c>
      <c r="D488" s="21">
        <v>2023</v>
      </c>
      <c r="E488" s="21" t="s">
        <v>1040</v>
      </c>
      <c r="F488" s="21" t="s">
        <v>2277</v>
      </c>
      <c r="G488" s="21" t="str">
        <f>HYPERLINK("http://dx.doi.org/10.1093/pnasnexus/pgad361","http://dx.doi.org/10.1093/pnasnexus/pgad361")</f>
        <v>http://dx.doi.org/10.1093/pnasnexus/pgad361</v>
      </c>
      <c r="H488" s="21" t="s">
        <v>1230</v>
      </c>
      <c r="I488" s="21" t="s">
        <v>2262</v>
      </c>
      <c r="J488" s="21" t="s">
        <v>2262</v>
      </c>
      <c r="K488" s="20" t="s">
        <v>0</v>
      </c>
    </row>
    <row r="489" spans="1:11" x14ac:dyDescent="0.2">
      <c r="A489" s="30" t="s">
        <v>2821</v>
      </c>
      <c r="B489" s="21" t="s">
        <v>731</v>
      </c>
      <c r="C489" s="21" t="s">
        <v>732</v>
      </c>
      <c r="D489" s="21">
        <v>2024</v>
      </c>
      <c r="E489" s="21" t="s">
        <v>925</v>
      </c>
      <c r="F489" s="21" t="s">
        <v>733</v>
      </c>
      <c r="G489" s="21" t="str">
        <f>HYPERLINK("http://dx.doi.org/10.1016/j.aei.2023.102346","http://dx.doi.org/10.1016/j.aei.2023.102346")</f>
        <v>http://dx.doi.org/10.1016/j.aei.2023.102346</v>
      </c>
      <c r="H489" s="21" t="s">
        <v>2826</v>
      </c>
      <c r="I489" s="21" t="s">
        <v>2900</v>
      </c>
      <c r="J489" s="21" t="s">
        <v>2828</v>
      </c>
      <c r="K489" s="20" t="s">
        <v>0</v>
      </c>
    </row>
    <row r="490" spans="1:11" x14ac:dyDescent="0.2">
      <c r="A490" s="30" t="s">
        <v>1569</v>
      </c>
      <c r="B490" s="21" t="s">
        <v>1940</v>
      </c>
      <c r="C490" s="21" t="s">
        <v>1423</v>
      </c>
      <c r="D490" s="21">
        <v>2016</v>
      </c>
      <c r="E490" s="21" t="s">
        <v>931</v>
      </c>
      <c r="F490" s="21" t="s">
        <v>1751</v>
      </c>
      <c r="G490" s="21" t="str">
        <f>HYPERLINK("http://dx.doi.org/10.1016/j.watres.2015.12.008","http://dx.doi.org/10.1016/j.watres.2015.12.008")</f>
        <v>http://dx.doi.org/10.1016/j.watres.2015.12.008</v>
      </c>
      <c r="H490" s="21" t="s">
        <v>2826</v>
      </c>
      <c r="I490" s="21" t="s">
        <v>2835</v>
      </c>
      <c r="J490" s="21" t="s">
        <v>2214</v>
      </c>
      <c r="K490" s="20" t="s">
        <v>0</v>
      </c>
    </row>
    <row r="491" spans="1:11" x14ac:dyDescent="0.2">
      <c r="A491" s="30" t="s">
        <v>2821</v>
      </c>
      <c r="B491" s="21" t="s">
        <v>868</v>
      </c>
      <c r="C491" s="21" t="s">
        <v>869</v>
      </c>
      <c r="D491" s="21">
        <v>2023</v>
      </c>
      <c r="E491" s="21" t="s">
        <v>926</v>
      </c>
      <c r="F491" s="21" t="s">
        <v>209</v>
      </c>
      <c r="G491" s="21" t="str">
        <f>HYPERLINK("http://dx.doi.org/10.1007/s11367-022-02131-z","http://dx.doi.org/10.1007/s11367-022-02131-z")</f>
        <v>http://dx.doi.org/10.1007/s11367-022-02131-z</v>
      </c>
      <c r="H491" s="21" t="s">
        <v>2826</v>
      </c>
      <c r="I491" s="21" t="s">
        <v>2832</v>
      </c>
      <c r="J491" s="21" t="s">
        <v>2213</v>
      </c>
      <c r="K491" s="20" t="s">
        <v>0</v>
      </c>
    </row>
    <row r="492" spans="1:11" x14ac:dyDescent="0.2">
      <c r="A492" s="30" t="s">
        <v>1569</v>
      </c>
      <c r="B492" s="21" t="s">
        <v>1753</v>
      </c>
      <c r="C492" s="21" t="s">
        <v>1424</v>
      </c>
      <c r="D492" s="21">
        <v>2018</v>
      </c>
      <c r="E492" s="21" t="s">
        <v>931</v>
      </c>
      <c r="F492" s="21" t="s">
        <v>43</v>
      </c>
      <c r="G492" s="21" t="str">
        <f>HYPERLINK("http://dx.doi.org/10.1016/j.energy.2018.08.093","http://dx.doi.org/10.1016/j.energy.2018.08.093")</f>
        <v>http://dx.doi.org/10.1016/j.energy.2018.08.093</v>
      </c>
      <c r="H492" s="21" t="s">
        <v>1230</v>
      </c>
      <c r="I492" s="21" t="s">
        <v>2262</v>
      </c>
      <c r="J492" s="21" t="s">
        <v>2262</v>
      </c>
      <c r="K492" s="20" t="s">
        <v>0</v>
      </c>
    </row>
    <row r="493" spans="1:11" x14ac:dyDescent="0.2">
      <c r="A493" s="30" t="s">
        <v>1569</v>
      </c>
      <c r="B493" s="21" t="s">
        <v>1849</v>
      </c>
      <c r="C493" s="21" t="s">
        <v>1631</v>
      </c>
      <c r="D493" s="21">
        <v>2017</v>
      </c>
      <c r="E493" s="21" t="s">
        <v>926</v>
      </c>
      <c r="F493" s="21" t="s">
        <v>209</v>
      </c>
      <c r="G493" s="21" t="str">
        <f>HYPERLINK("http://dx.doi.org/10.1007/s11367-017-1261-7","http://dx.doi.org/10.1007/s11367-017-1261-7")</f>
        <v>http://dx.doi.org/10.1007/s11367-017-1261-7</v>
      </c>
      <c r="H493" s="21" t="s">
        <v>2826</v>
      </c>
      <c r="I493" s="21" t="s">
        <v>2835</v>
      </c>
      <c r="J493" s="21" t="s">
        <v>2218</v>
      </c>
      <c r="K493" s="20" t="s">
        <v>0</v>
      </c>
    </row>
    <row r="494" spans="1:11" x14ac:dyDescent="0.2">
      <c r="A494" s="30" t="s">
        <v>1569</v>
      </c>
      <c r="B494" s="21" t="s">
        <v>1967</v>
      </c>
      <c r="C494" s="21" t="s">
        <v>1425</v>
      </c>
      <c r="D494" s="21">
        <v>2015</v>
      </c>
      <c r="E494" s="21" t="s">
        <v>923</v>
      </c>
      <c r="F494" s="21" t="s">
        <v>255</v>
      </c>
      <c r="G494" s="21" t="str">
        <f>HYPERLINK("http://dx.doi.org/10.1002/pip.2540","http://dx.doi.org/10.1002/pip.2540")</f>
        <v>http://dx.doi.org/10.1002/pip.2540</v>
      </c>
      <c r="H494" s="21" t="s">
        <v>2826</v>
      </c>
      <c r="I494" s="21" t="s">
        <v>2835</v>
      </c>
      <c r="J494" s="21" t="s">
        <v>2218</v>
      </c>
      <c r="K494" s="20" t="s">
        <v>0</v>
      </c>
    </row>
    <row r="495" spans="1:11" x14ac:dyDescent="0.2">
      <c r="A495" s="30" t="s">
        <v>2822</v>
      </c>
      <c r="B495" s="21" t="s">
        <v>1240</v>
      </c>
      <c r="C495" s="21" t="s">
        <v>33</v>
      </c>
      <c r="D495" s="21">
        <v>2019</v>
      </c>
      <c r="E495" s="21" t="s">
        <v>933</v>
      </c>
      <c r="F495" s="21" t="s">
        <v>451</v>
      </c>
      <c r="G495" s="21" t="str">
        <f>HYPERLINK("http://dx.doi.org/10.1038/s41467-019-13067-8","http://dx.doi.org/10.1038/s41467-019-13067-8")</f>
        <v>http://dx.doi.org/10.1038/s41467-019-13067-8</v>
      </c>
      <c r="H495" s="21" t="s">
        <v>1230</v>
      </c>
      <c r="I495" s="21" t="s">
        <v>2262</v>
      </c>
      <c r="J495" s="21" t="s">
        <v>2262</v>
      </c>
      <c r="K495" s="20" t="s">
        <v>0</v>
      </c>
    </row>
    <row r="496" spans="1:11" x14ac:dyDescent="0.2">
      <c r="A496" s="30" t="s">
        <v>2821</v>
      </c>
      <c r="B496" s="21" t="s">
        <v>260</v>
      </c>
      <c r="C496" s="21" t="s">
        <v>261</v>
      </c>
      <c r="D496" s="21">
        <v>2024</v>
      </c>
      <c r="E496" s="21" t="s">
        <v>928</v>
      </c>
      <c r="F496" s="21" t="s">
        <v>262</v>
      </c>
      <c r="G496" s="21" t="str">
        <f>HYPERLINK("http://dx.doi.org/10.1016/j.geosus.2024.01.008","http://dx.doi.org/10.1016/j.geosus.2024.01.008")</f>
        <v>http://dx.doi.org/10.1016/j.geosus.2024.01.008</v>
      </c>
      <c r="H496" s="21" t="s">
        <v>2825</v>
      </c>
      <c r="I496" s="21" t="s">
        <v>2832</v>
      </c>
      <c r="J496" s="21" t="s">
        <v>2884</v>
      </c>
      <c r="K496" s="20" t="s">
        <v>0</v>
      </c>
    </row>
    <row r="497" spans="1:11" x14ac:dyDescent="0.2">
      <c r="A497" s="30" t="s">
        <v>1569</v>
      </c>
      <c r="B497" s="21" t="s">
        <v>1251</v>
      </c>
      <c r="C497" s="21" t="s">
        <v>1252</v>
      </c>
      <c r="D497" s="21">
        <v>2004</v>
      </c>
      <c r="E497" s="21" t="s">
        <v>924</v>
      </c>
      <c r="F497" s="21" t="s">
        <v>357</v>
      </c>
      <c r="G497" s="21" t="str">
        <f>HYPERLINK("http://dx.doi.org/10.1021/es034206m","http://dx.doi.org/10.1021/es034206m")</f>
        <v>http://dx.doi.org/10.1021/es034206m</v>
      </c>
      <c r="H497" s="21" t="s">
        <v>2826</v>
      </c>
      <c r="I497" s="21" t="s">
        <v>2835</v>
      </c>
      <c r="J497" s="21" t="s">
        <v>2216</v>
      </c>
      <c r="K497" s="20" t="s">
        <v>0</v>
      </c>
    </row>
    <row r="498" spans="1:11" x14ac:dyDescent="0.2">
      <c r="A498" s="30" t="s">
        <v>2821</v>
      </c>
      <c r="B498" s="21" t="s">
        <v>886</v>
      </c>
      <c r="C498" s="21" t="s">
        <v>887</v>
      </c>
      <c r="D498" s="21">
        <v>2017</v>
      </c>
      <c r="E498" s="21" t="s">
        <v>931</v>
      </c>
      <c r="F498" s="21" t="s">
        <v>888</v>
      </c>
      <c r="G498" s="21" t="str">
        <f>HYPERLINK("http://dx.doi.org/10.1016/j.materresbull.2017.03.010","http://dx.doi.org/10.1016/j.materresbull.2017.03.010")</f>
        <v>http://dx.doi.org/10.1016/j.materresbull.2017.03.010</v>
      </c>
      <c r="H498" s="21" t="s">
        <v>2826</v>
      </c>
      <c r="I498" s="21" t="s">
        <v>2836</v>
      </c>
      <c r="J498" s="21" t="s">
        <v>2830</v>
      </c>
      <c r="K498" s="20" t="s">
        <v>0</v>
      </c>
    </row>
    <row r="499" spans="1:11" x14ac:dyDescent="0.2">
      <c r="A499" s="30" t="s">
        <v>2821</v>
      </c>
      <c r="B499" s="21" t="s">
        <v>1145</v>
      </c>
      <c r="C499" s="21" t="s">
        <v>1082</v>
      </c>
      <c r="D499" s="21">
        <v>2023</v>
      </c>
      <c r="E499" s="21" t="s">
        <v>41</v>
      </c>
      <c r="F499" s="21" t="s">
        <v>1146</v>
      </c>
      <c r="G499" s="21" t="str">
        <f>HYPERLINK("http://dx.doi.org/10.3390/molecules28227620","http://dx.doi.org/10.3390/molecules28227620")</f>
        <v>http://dx.doi.org/10.3390/molecules28227620</v>
      </c>
      <c r="H499" s="21" t="s">
        <v>2826</v>
      </c>
      <c r="I499" s="21" t="s">
        <v>2836</v>
      </c>
      <c r="J499" s="21" t="s">
        <v>2830</v>
      </c>
      <c r="K499" s="20" t="s">
        <v>0</v>
      </c>
    </row>
    <row r="500" spans="1:11" x14ac:dyDescent="0.2">
      <c r="A500" s="30" t="s">
        <v>1569</v>
      </c>
      <c r="B500" s="21" t="s">
        <v>1871</v>
      </c>
      <c r="C500" s="21" t="s">
        <v>1633</v>
      </c>
      <c r="D500" s="21">
        <v>2017</v>
      </c>
      <c r="E500" s="21" t="s">
        <v>925</v>
      </c>
      <c r="F500" s="21" t="s">
        <v>144</v>
      </c>
      <c r="G500" s="21" t="str">
        <f>HYPERLINK("http://dx.doi.org/10.1016/j.jclepro.2016.12.131","http://dx.doi.org/10.1016/j.jclepro.2016.12.131")</f>
        <v>http://dx.doi.org/10.1016/j.jclepro.2016.12.131</v>
      </c>
      <c r="H500" s="21" t="s">
        <v>2826</v>
      </c>
      <c r="I500" s="21" t="s">
        <v>2835</v>
      </c>
      <c r="J500" s="21" t="s">
        <v>2214</v>
      </c>
      <c r="K500" s="20" t="s">
        <v>0</v>
      </c>
    </row>
    <row r="501" spans="1:11" x14ac:dyDescent="0.2">
      <c r="A501" s="30" t="s">
        <v>2821</v>
      </c>
      <c r="B501" s="21" t="s">
        <v>579</v>
      </c>
      <c r="C501" s="21" t="s">
        <v>580</v>
      </c>
      <c r="D501" s="21">
        <v>2000</v>
      </c>
      <c r="E501" s="21" t="s">
        <v>999</v>
      </c>
      <c r="F501" s="21" t="s">
        <v>581</v>
      </c>
      <c r="G501" s="21" t="str">
        <f>HYPERLINK("http://dx.doi.org/10.1111/j.1745-9125.2000.tb00899.x","http://dx.doi.org/10.1111/j.1745-9125.2000.tb00899.x")</f>
        <v>http://dx.doi.org/10.1111/j.1745-9125.2000.tb00899.x</v>
      </c>
      <c r="H501" s="21" t="s">
        <v>2826</v>
      </c>
      <c r="I501" s="21" t="s">
        <v>2836</v>
      </c>
      <c r="J501" s="21" t="s">
        <v>2830</v>
      </c>
      <c r="K501" s="20" t="s">
        <v>0</v>
      </c>
    </row>
    <row r="502" spans="1:11" x14ac:dyDescent="0.2">
      <c r="A502" s="30" t="s">
        <v>2821</v>
      </c>
      <c r="B502" s="21" t="s">
        <v>324</v>
      </c>
      <c r="C502" s="21" t="s">
        <v>14</v>
      </c>
      <c r="D502" s="21">
        <v>2024</v>
      </c>
      <c r="E502" s="21" t="s">
        <v>925</v>
      </c>
      <c r="F502" s="21" t="s">
        <v>144</v>
      </c>
      <c r="G502" s="21" t="str">
        <f>HYPERLINK("http://dx.doi.org/10.1016/j.jclepro.2024.143316","http://dx.doi.org/10.1016/j.jclepro.2024.143316")</f>
        <v>http://dx.doi.org/10.1016/j.jclepro.2024.143316</v>
      </c>
      <c r="H502" s="21" t="s">
        <v>2825</v>
      </c>
      <c r="I502" s="21" t="s">
        <v>2835</v>
      </c>
      <c r="J502" s="21" t="s">
        <v>2218</v>
      </c>
      <c r="K502" s="20" t="s">
        <v>0</v>
      </c>
    </row>
    <row r="503" spans="1:11" x14ac:dyDescent="0.2">
      <c r="A503" s="30" t="s">
        <v>2821</v>
      </c>
      <c r="B503" s="21" t="s">
        <v>327</v>
      </c>
      <c r="C503" s="21" t="s">
        <v>122</v>
      </c>
      <c r="D503" s="21">
        <v>2023</v>
      </c>
      <c r="E503" s="21" t="s">
        <v>931</v>
      </c>
      <c r="F503" s="21" t="s">
        <v>306</v>
      </c>
      <c r="G503" s="21" t="str">
        <f>HYPERLINK("http://dx.doi.org/10.1016/j.rser.2023.113830","http://dx.doi.org/10.1016/j.rser.2023.113830")</f>
        <v>http://dx.doi.org/10.1016/j.rser.2023.113830</v>
      </c>
      <c r="H503" s="21" t="s">
        <v>2825</v>
      </c>
      <c r="I503" s="21" t="s">
        <v>2900</v>
      </c>
      <c r="J503" s="21" t="s">
        <v>2828</v>
      </c>
      <c r="K503" s="20" t="s">
        <v>0</v>
      </c>
    </row>
    <row r="504" spans="1:11" x14ac:dyDescent="0.2">
      <c r="A504" s="30" t="s">
        <v>1569</v>
      </c>
      <c r="B504" s="21" t="s">
        <v>2156</v>
      </c>
      <c r="C504" s="21" t="s">
        <v>1426</v>
      </c>
      <c r="D504" s="21">
        <v>2018</v>
      </c>
      <c r="E504" s="21" t="s">
        <v>2177</v>
      </c>
      <c r="F504" s="21" t="s">
        <v>2155</v>
      </c>
      <c r="G504" s="21" t="s">
        <v>2146</v>
      </c>
      <c r="H504" s="21" t="s">
        <v>2826</v>
      </c>
      <c r="I504" s="21" t="s">
        <v>2835</v>
      </c>
      <c r="J504" s="21" t="s">
        <v>2218</v>
      </c>
      <c r="K504" s="20" t="s">
        <v>0</v>
      </c>
    </row>
    <row r="505" spans="1:11" x14ac:dyDescent="0.2">
      <c r="A505" s="30" t="s">
        <v>2821</v>
      </c>
      <c r="B505" s="21" t="s">
        <v>870</v>
      </c>
      <c r="C505" s="21" t="s">
        <v>871</v>
      </c>
      <c r="D505" s="21">
        <v>2023</v>
      </c>
      <c r="E505" s="21" t="s">
        <v>925</v>
      </c>
      <c r="F505" s="21" t="s">
        <v>144</v>
      </c>
      <c r="G505" s="21" t="str">
        <f>HYPERLINK("http://dx.doi.org/10.1016/j.jclepro.2023.139002","http://dx.doi.org/10.1016/j.jclepro.2023.139002")</f>
        <v>http://dx.doi.org/10.1016/j.jclepro.2023.139002</v>
      </c>
      <c r="H505" s="21" t="s">
        <v>2826</v>
      </c>
      <c r="I505" s="21" t="s">
        <v>2832</v>
      </c>
      <c r="J505" s="21" t="s">
        <v>2847</v>
      </c>
      <c r="K505" s="20" t="s">
        <v>0</v>
      </c>
    </row>
    <row r="506" spans="1:11" x14ac:dyDescent="0.2">
      <c r="A506" s="30" t="s">
        <v>2821</v>
      </c>
      <c r="B506" s="21" t="s">
        <v>241</v>
      </c>
      <c r="C506" s="21" t="s">
        <v>242</v>
      </c>
      <c r="D506" s="21">
        <v>2020</v>
      </c>
      <c r="E506" s="21" t="s">
        <v>926</v>
      </c>
      <c r="F506" s="21" t="s">
        <v>209</v>
      </c>
      <c r="G506" s="21" t="str">
        <f>HYPERLINK("http://dx.doi.org/10.1007/s11367-020-01803-y","http://dx.doi.org/10.1007/s11367-020-01803-y")</f>
        <v>http://dx.doi.org/10.1007/s11367-020-01803-y</v>
      </c>
      <c r="H506" s="21" t="s">
        <v>2825</v>
      </c>
      <c r="I506" s="21" t="s">
        <v>2832</v>
      </c>
      <c r="J506" s="21" t="s">
        <v>2884</v>
      </c>
      <c r="K506" s="20" t="s">
        <v>0</v>
      </c>
    </row>
    <row r="507" spans="1:11" x14ac:dyDescent="0.2">
      <c r="A507" s="30" t="s">
        <v>1569</v>
      </c>
      <c r="B507" s="21" t="s">
        <v>1763</v>
      </c>
      <c r="C507" s="21" t="s">
        <v>1427</v>
      </c>
      <c r="D507" s="21">
        <v>2018</v>
      </c>
      <c r="E507" s="21" t="s">
        <v>41</v>
      </c>
      <c r="F507" s="21" t="s">
        <v>54</v>
      </c>
      <c r="G507" s="21" t="str">
        <f>HYPERLINK("http://dx.doi.org/10.3390/su10093027","http://dx.doi.org/10.3390/su10093027")</f>
        <v>http://dx.doi.org/10.3390/su10093027</v>
      </c>
      <c r="H507" s="21" t="s">
        <v>2825</v>
      </c>
      <c r="I507" s="21" t="s">
        <v>2832</v>
      </c>
      <c r="J507" s="21" t="s">
        <v>2847</v>
      </c>
      <c r="K507" s="20" t="s">
        <v>0</v>
      </c>
    </row>
    <row r="508" spans="1:11" x14ac:dyDescent="0.2">
      <c r="A508" s="30" t="s">
        <v>1569</v>
      </c>
      <c r="B508" s="21" t="s">
        <v>1824</v>
      </c>
      <c r="C508" s="21" t="s">
        <v>1428</v>
      </c>
      <c r="D508" s="21">
        <v>2017</v>
      </c>
      <c r="E508" s="21" t="s">
        <v>925</v>
      </c>
      <c r="F508" s="21" t="s">
        <v>144</v>
      </c>
      <c r="G508" s="21" t="str">
        <f>HYPERLINK("http://dx.doi.org/10.1016/j.jclepro.2017.08.083","http://dx.doi.org/10.1016/j.jclepro.2017.08.083")</f>
        <v>http://dx.doi.org/10.1016/j.jclepro.2017.08.083</v>
      </c>
      <c r="H508" s="21" t="s">
        <v>2826</v>
      </c>
      <c r="I508" s="21" t="s">
        <v>2835</v>
      </c>
      <c r="J508" s="21" t="s">
        <v>2219</v>
      </c>
      <c r="K508" s="20" t="s">
        <v>0</v>
      </c>
    </row>
    <row r="509" spans="1:11" x14ac:dyDescent="0.2">
      <c r="A509" s="30" t="s">
        <v>2821</v>
      </c>
      <c r="B509" s="21" t="s">
        <v>1107</v>
      </c>
      <c r="C509" s="21" t="s">
        <v>1108</v>
      </c>
      <c r="D509" s="21">
        <v>2023</v>
      </c>
      <c r="E509" s="21" t="s">
        <v>928</v>
      </c>
      <c r="F509" s="21" t="s">
        <v>1109</v>
      </c>
      <c r="G509" s="21" t="str">
        <f>HYPERLINK("http://dx.doi.org/10.1016/j.ceja.2022.100439","http://dx.doi.org/10.1016/j.ceja.2022.100439")</f>
        <v>http://dx.doi.org/10.1016/j.ceja.2022.100439</v>
      </c>
      <c r="H509" s="21" t="s">
        <v>2826</v>
      </c>
      <c r="I509" s="21" t="s">
        <v>2900</v>
      </c>
      <c r="J509" s="21" t="s">
        <v>2828</v>
      </c>
      <c r="K509" s="20" t="s">
        <v>0</v>
      </c>
    </row>
    <row r="510" spans="1:11" x14ac:dyDescent="0.2">
      <c r="A510" s="30" t="s">
        <v>2821</v>
      </c>
      <c r="B510" s="21" t="s">
        <v>684</v>
      </c>
      <c r="C510" s="21" t="s">
        <v>685</v>
      </c>
      <c r="D510" s="21">
        <v>2009</v>
      </c>
      <c r="E510" s="21" t="s">
        <v>931</v>
      </c>
      <c r="F510" s="21" t="s">
        <v>686</v>
      </c>
      <c r="G510" s="21" t="str">
        <f>HYPERLINK("http://dx.doi.org/10.1016/j.actaastro.2009.03.058","http://dx.doi.org/10.1016/j.actaastro.2009.03.058")</f>
        <v>http://dx.doi.org/10.1016/j.actaastro.2009.03.058</v>
      </c>
      <c r="H510" s="21" t="s">
        <v>2826</v>
      </c>
      <c r="I510" s="21" t="s">
        <v>2836</v>
      </c>
      <c r="J510" s="21" t="s">
        <v>2830</v>
      </c>
      <c r="K510" s="20" t="s">
        <v>0</v>
      </c>
    </row>
    <row r="511" spans="1:11" x14ac:dyDescent="0.2">
      <c r="A511" s="30" t="s">
        <v>1569</v>
      </c>
      <c r="B511" s="21" t="s">
        <v>2005</v>
      </c>
      <c r="C511" s="21" t="s">
        <v>1429</v>
      </c>
      <c r="D511" s="21">
        <v>2014</v>
      </c>
      <c r="E511" s="21" t="s">
        <v>923</v>
      </c>
      <c r="F511" s="21" t="s">
        <v>255</v>
      </c>
      <c r="G511" s="21" t="str">
        <f>HYPERLINK("http://dx.doi.org/10.1002/pip.2363","http://dx.doi.org/10.1002/pip.2363")</f>
        <v>http://dx.doi.org/10.1002/pip.2363</v>
      </c>
      <c r="H511" s="21" t="s">
        <v>2826</v>
      </c>
      <c r="I511" s="21" t="s">
        <v>2835</v>
      </c>
      <c r="J511" s="21" t="s">
        <v>2218</v>
      </c>
      <c r="K511" s="20" t="s">
        <v>0</v>
      </c>
    </row>
    <row r="512" spans="1:11" x14ac:dyDescent="0.2">
      <c r="A512" s="30" t="s">
        <v>1569</v>
      </c>
      <c r="B512" s="21" t="s">
        <v>1881</v>
      </c>
      <c r="C512" s="21" t="s">
        <v>1430</v>
      </c>
      <c r="D512" s="21">
        <v>2017</v>
      </c>
      <c r="E512" s="21" t="s">
        <v>925</v>
      </c>
      <c r="F512" s="21" t="s">
        <v>144</v>
      </c>
      <c r="G512" s="21" t="str">
        <f>HYPERLINK("http://dx.doi.org/10.1016/j.jclepro.2016.11.031","http://dx.doi.org/10.1016/j.jclepro.2016.11.031")</f>
        <v>http://dx.doi.org/10.1016/j.jclepro.2016.11.031</v>
      </c>
      <c r="H512" s="21" t="s">
        <v>2826</v>
      </c>
      <c r="I512" s="21" t="s">
        <v>2835</v>
      </c>
      <c r="J512" s="21" t="s">
        <v>2218</v>
      </c>
      <c r="K512" s="20" t="s">
        <v>0</v>
      </c>
    </row>
    <row r="513" spans="1:11" x14ac:dyDescent="0.2">
      <c r="A513" s="30" t="s">
        <v>2821</v>
      </c>
      <c r="B513" s="21" t="s">
        <v>298</v>
      </c>
      <c r="C513" s="21" t="s">
        <v>299</v>
      </c>
      <c r="D513" s="21">
        <v>2024</v>
      </c>
      <c r="E513" s="21" t="s">
        <v>928</v>
      </c>
      <c r="F513" s="21" t="s">
        <v>197</v>
      </c>
      <c r="G513" s="21" t="str">
        <f>HYPERLINK("http://dx.doi.org/10.1016/j.scitotenv.2024.172301","http://dx.doi.org/10.1016/j.scitotenv.2024.172301")</f>
        <v>http://dx.doi.org/10.1016/j.scitotenv.2024.172301</v>
      </c>
      <c r="H513" s="21" t="s">
        <v>2826</v>
      </c>
      <c r="I513" s="21" t="s">
        <v>2835</v>
      </c>
      <c r="J513" s="21" t="s">
        <v>2218</v>
      </c>
      <c r="K513" s="20" t="s">
        <v>0</v>
      </c>
    </row>
    <row r="514" spans="1:11" x14ac:dyDescent="0.2">
      <c r="A514" s="30" t="s">
        <v>2821</v>
      </c>
      <c r="B514" s="21" t="s">
        <v>2343</v>
      </c>
      <c r="C514" s="21" t="s">
        <v>2347</v>
      </c>
      <c r="D514" s="21">
        <v>2025</v>
      </c>
      <c r="E514" s="21" t="s">
        <v>928</v>
      </c>
      <c r="F514" s="21" t="s">
        <v>2351</v>
      </c>
      <c r="G514" s="21" t="str">
        <f>HYPERLINK("http://dx.doi.org/10.1016/j.animal.2024.101348","http://dx.doi.org/10.1016/j.animal.2024.101348")</f>
        <v>http://dx.doi.org/10.1016/j.animal.2024.101348</v>
      </c>
      <c r="H514" s="21" t="s">
        <v>2826</v>
      </c>
      <c r="I514" s="21" t="s">
        <v>2900</v>
      </c>
      <c r="J514" s="21" t="s">
        <v>2828</v>
      </c>
      <c r="K514" s="20" t="s">
        <v>0</v>
      </c>
    </row>
    <row r="515" spans="1:11" x14ac:dyDescent="0.2">
      <c r="A515" s="30" t="s">
        <v>2821</v>
      </c>
      <c r="B515" s="21" t="s">
        <v>621</v>
      </c>
      <c r="C515" s="21" t="s">
        <v>622</v>
      </c>
      <c r="D515" s="21">
        <v>2021</v>
      </c>
      <c r="E515" s="21" t="s">
        <v>1038</v>
      </c>
      <c r="F515" s="21" t="s">
        <v>623</v>
      </c>
      <c r="G515" s="21" t="str">
        <f>HYPERLINK("http://dx.doi.org/10.1371/journal.pone.0260499","http://dx.doi.org/10.1371/journal.pone.0260499")</f>
        <v>http://dx.doi.org/10.1371/journal.pone.0260499</v>
      </c>
      <c r="H515" s="21" t="s">
        <v>2826</v>
      </c>
      <c r="I515" s="21" t="s">
        <v>2836</v>
      </c>
      <c r="J515" s="21" t="s">
        <v>2830</v>
      </c>
      <c r="K515" s="20" t="s">
        <v>0</v>
      </c>
    </row>
    <row r="516" spans="1:11" x14ac:dyDescent="0.2">
      <c r="A516" s="30" t="s">
        <v>2821</v>
      </c>
      <c r="B516" s="21" t="s">
        <v>273</v>
      </c>
      <c r="C516" s="21" t="s">
        <v>274</v>
      </c>
      <c r="D516" s="21">
        <v>2024</v>
      </c>
      <c r="E516" s="21" t="s">
        <v>923</v>
      </c>
      <c r="F516" s="21" t="s">
        <v>127</v>
      </c>
      <c r="G516" s="21" t="str">
        <f>HYPERLINK("http://dx.doi.org/10.1111/jiec.13549","http://dx.doi.org/10.1111/jiec.13549")</f>
        <v>http://dx.doi.org/10.1111/jiec.13549</v>
      </c>
      <c r="H516" s="21" t="s">
        <v>2826</v>
      </c>
      <c r="I516" s="21" t="s">
        <v>2835</v>
      </c>
      <c r="J516" s="21" t="s">
        <v>2218</v>
      </c>
      <c r="K516" s="20" t="s">
        <v>0</v>
      </c>
    </row>
    <row r="517" spans="1:11" x14ac:dyDescent="0.2">
      <c r="A517" s="30" t="s">
        <v>2821</v>
      </c>
      <c r="B517" s="21" t="s">
        <v>813</v>
      </c>
      <c r="C517" s="21" t="s">
        <v>814</v>
      </c>
      <c r="D517" s="21">
        <v>2016</v>
      </c>
      <c r="E517" s="21" t="s">
        <v>964</v>
      </c>
      <c r="F517" s="21" t="s">
        <v>815</v>
      </c>
      <c r="G517" s="21" t="str">
        <f>HYPERLINK("http://dx.doi.org/10.3945/jn.116.234336","http://dx.doi.org/10.3945/jn.116.234336")</f>
        <v>http://dx.doi.org/10.3945/jn.116.234336</v>
      </c>
      <c r="H517" s="21" t="s">
        <v>2826</v>
      </c>
      <c r="I517" s="21" t="s">
        <v>2836</v>
      </c>
      <c r="J517" s="21" t="s">
        <v>2830</v>
      </c>
      <c r="K517" s="20" t="s">
        <v>0</v>
      </c>
    </row>
    <row r="518" spans="1:11" x14ac:dyDescent="0.2">
      <c r="A518" s="30" t="s">
        <v>2821</v>
      </c>
      <c r="B518" s="21" t="s">
        <v>984</v>
      </c>
      <c r="C518" s="21" t="s">
        <v>985</v>
      </c>
      <c r="D518" s="21">
        <v>2005</v>
      </c>
      <c r="E518" s="21" t="s">
        <v>931</v>
      </c>
      <c r="F518" s="21" t="s">
        <v>978</v>
      </c>
      <c r="G518" s="21" t="str">
        <f>HYPERLINK("http://dx.doi.org/10.1016/j.socscimed.2005.04.027","http://dx.doi.org/10.1016/j.socscimed.2005.04.027")</f>
        <v>http://dx.doi.org/10.1016/j.socscimed.2005.04.027</v>
      </c>
      <c r="H518" s="21" t="s">
        <v>2826</v>
      </c>
      <c r="I518" s="21" t="s">
        <v>2836</v>
      </c>
      <c r="J518" s="21" t="s">
        <v>2830</v>
      </c>
      <c r="K518" s="20" t="s">
        <v>0</v>
      </c>
    </row>
    <row r="519" spans="1:11" x14ac:dyDescent="0.2">
      <c r="A519" s="30" t="s">
        <v>2821</v>
      </c>
      <c r="B519" s="21" t="s">
        <v>311</v>
      </c>
      <c r="C519" s="21" t="s">
        <v>38</v>
      </c>
      <c r="D519" s="21">
        <v>2019</v>
      </c>
      <c r="E519" s="21" t="s">
        <v>931</v>
      </c>
      <c r="F519" s="21" t="s">
        <v>43</v>
      </c>
      <c r="G519" s="21" t="str">
        <f>HYPERLINK("http://dx.doi.org/10.1016/j.energy.2018.12.057","http://dx.doi.org/10.1016/j.energy.2018.12.057")</f>
        <v>http://dx.doi.org/10.1016/j.energy.2018.12.057</v>
      </c>
      <c r="H519" s="21" t="s">
        <v>2825</v>
      </c>
      <c r="I519" s="21" t="s">
        <v>2832</v>
      </c>
      <c r="J519" s="21" t="s">
        <v>2884</v>
      </c>
      <c r="K519" s="20" t="s">
        <v>0</v>
      </c>
    </row>
    <row r="520" spans="1:11" x14ac:dyDescent="0.2">
      <c r="A520" s="30" t="s">
        <v>2821</v>
      </c>
      <c r="B520" s="21" t="s">
        <v>482</v>
      </c>
      <c r="C520" s="21" t="s">
        <v>483</v>
      </c>
      <c r="D520" s="21">
        <v>2024</v>
      </c>
      <c r="E520" s="21" t="s">
        <v>926</v>
      </c>
      <c r="F520" s="21" t="s">
        <v>209</v>
      </c>
      <c r="G520" s="21" t="str">
        <f>HYPERLINK("http://dx.doi.org/10.1007/s11367-024-02335-5","http://dx.doi.org/10.1007/s11367-024-02335-5")</f>
        <v>http://dx.doi.org/10.1007/s11367-024-02335-5</v>
      </c>
      <c r="H520" s="21" t="s">
        <v>2826</v>
      </c>
      <c r="I520" s="21" t="s">
        <v>2833</v>
      </c>
      <c r="J520" s="21" t="s">
        <v>2827</v>
      </c>
      <c r="K520" s="20" t="s">
        <v>0</v>
      </c>
    </row>
    <row r="521" spans="1:11" x14ac:dyDescent="0.2">
      <c r="A521" s="30" t="s">
        <v>1569</v>
      </c>
      <c r="B521" s="21" t="s">
        <v>1882</v>
      </c>
      <c r="C521" s="21" t="s">
        <v>85</v>
      </c>
      <c r="D521" s="21">
        <v>2017</v>
      </c>
      <c r="E521" s="21" t="s">
        <v>925</v>
      </c>
      <c r="F521" s="21" t="s">
        <v>144</v>
      </c>
      <c r="G521" s="21" t="str">
        <f>HYPERLINK("http://dx.doi.org/10.1016/j.jclepro.2016.11.150","http://dx.doi.org/10.1016/j.jclepro.2016.11.150")</f>
        <v>http://dx.doi.org/10.1016/j.jclepro.2016.11.150</v>
      </c>
      <c r="H521" s="21" t="s">
        <v>2826</v>
      </c>
      <c r="I521" s="21" t="s">
        <v>2832</v>
      </c>
      <c r="J521" s="21" t="s">
        <v>2847</v>
      </c>
      <c r="K521" s="20" t="s">
        <v>0</v>
      </c>
    </row>
    <row r="522" spans="1:11" x14ac:dyDescent="0.2">
      <c r="A522" s="30" t="s">
        <v>2821</v>
      </c>
      <c r="B522" s="21" t="s">
        <v>711</v>
      </c>
      <c r="C522" s="21" t="s">
        <v>712</v>
      </c>
      <c r="D522" s="21">
        <v>2022</v>
      </c>
      <c r="E522" s="21" t="s">
        <v>1039</v>
      </c>
      <c r="F522" s="21" t="s">
        <v>713</v>
      </c>
      <c r="G522" s="21" t="str">
        <f>HYPERLINK("http://dx.doi.org/10.1136/bmjopen-2021-057989","http://dx.doi.org/10.1136/bmjopen-2021-057989")</f>
        <v>http://dx.doi.org/10.1136/bmjopen-2021-057989</v>
      </c>
      <c r="H522" s="21" t="s">
        <v>2826</v>
      </c>
      <c r="I522" s="21" t="s">
        <v>2836</v>
      </c>
      <c r="J522" s="21" t="s">
        <v>2830</v>
      </c>
      <c r="K522" s="20" t="s">
        <v>0</v>
      </c>
    </row>
    <row r="523" spans="1:11" x14ac:dyDescent="0.2">
      <c r="A523" s="30" t="s">
        <v>2821</v>
      </c>
      <c r="B523" s="21" t="s">
        <v>377</v>
      </c>
      <c r="C523" s="21" t="s">
        <v>378</v>
      </c>
      <c r="D523" s="21">
        <v>2024</v>
      </c>
      <c r="E523" s="21" t="s">
        <v>923</v>
      </c>
      <c r="F523" s="21" t="s">
        <v>127</v>
      </c>
      <c r="G523" s="21" t="str">
        <f>HYPERLINK("http://dx.doi.org/10.1111/jiec.13523","http://dx.doi.org/10.1111/jiec.13523")</f>
        <v>http://dx.doi.org/10.1111/jiec.13523</v>
      </c>
      <c r="H523" s="21" t="s">
        <v>1230</v>
      </c>
      <c r="I523" s="21" t="s">
        <v>2262</v>
      </c>
      <c r="J523" s="21" t="s">
        <v>2262</v>
      </c>
      <c r="K523" s="20" t="s">
        <v>0</v>
      </c>
    </row>
    <row r="524" spans="1:11" x14ac:dyDescent="0.2">
      <c r="A524" s="30" t="s">
        <v>1569</v>
      </c>
      <c r="B524" s="21" t="s">
        <v>1850</v>
      </c>
      <c r="C524" s="21" t="s">
        <v>1431</v>
      </c>
      <c r="D524" s="21">
        <v>2017</v>
      </c>
      <c r="E524" s="21" t="s">
        <v>995</v>
      </c>
      <c r="F524" s="21" t="s">
        <v>213</v>
      </c>
      <c r="G524" s="21" t="str">
        <f>HYPERLINK("http://dx.doi.org/10.1016/j.resconrec.2016.07.003","http://dx.doi.org/10.1016/j.resconrec.2016.07.003")</f>
        <v>http://dx.doi.org/10.1016/j.resconrec.2016.07.003</v>
      </c>
      <c r="H524" s="21" t="s">
        <v>2826</v>
      </c>
      <c r="I524" s="21" t="s">
        <v>2835</v>
      </c>
      <c r="J524" s="21" t="s">
        <v>2214</v>
      </c>
      <c r="K524" s="20" t="s">
        <v>0</v>
      </c>
    </row>
    <row r="525" spans="1:11" x14ac:dyDescent="0.2">
      <c r="A525" s="30" t="s">
        <v>1569</v>
      </c>
      <c r="B525" s="21" t="s">
        <v>1694</v>
      </c>
      <c r="C525" s="21" t="s">
        <v>1581</v>
      </c>
      <c r="D525" s="21">
        <v>2019</v>
      </c>
      <c r="E525" s="21" t="s">
        <v>928</v>
      </c>
      <c r="F525" s="21" t="s">
        <v>173</v>
      </c>
      <c r="G525" s="21" t="str">
        <f>HYPERLINK("http://dx.doi.org/10.1016/j.spc.2019.05.002","http://dx.doi.org/10.1016/j.spc.2019.05.002")</f>
        <v>http://dx.doi.org/10.1016/j.spc.2019.05.002</v>
      </c>
      <c r="H525" s="21" t="s">
        <v>2826</v>
      </c>
      <c r="I525" s="21" t="s">
        <v>2900</v>
      </c>
      <c r="J525" s="21" t="s">
        <v>2828</v>
      </c>
      <c r="K525" s="20" t="s">
        <v>0</v>
      </c>
    </row>
    <row r="526" spans="1:11" x14ac:dyDescent="0.2">
      <c r="A526" s="30" t="s">
        <v>2821</v>
      </c>
      <c r="B526" s="21" t="s">
        <v>484</v>
      </c>
      <c r="C526" s="21" t="s">
        <v>485</v>
      </c>
      <c r="D526" s="21">
        <v>2019</v>
      </c>
      <c r="E526" s="21" t="s">
        <v>44</v>
      </c>
      <c r="F526" s="21" t="s">
        <v>486</v>
      </c>
      <c r="G526" s="21" t="str">
        <f>HYPERLINK("http://dx.doi.org/10.1115/1.4043414","http://dx.doi.org/10.1115/1.4043414")</f>
        <v>http://dx.doi.org/10.1115/1.4043414</v>
      </c>
      <c r="H526" s="21" t="s">
        <v>2826</v>
      </c>
      <c r="I526" s="21" t="s">
        <v>2836</v>
      </c>
      <c r="J526" s="21" t="s">
        <v>2830</v>
      </c>
      <c r="K526" s="20" t="s">
        <v>0</v>
      </c>
    </row>
    <row r="527" spans="1:11" x14ac:dyDescent="0.2">
      <c r="A527" s="30" t="s">
        <v>2821</v>
      </c>
      <c r="B527" s="21" t="s">
        <v>864</v>
      </c>
      <c r="C527" s="21" t="s">
        <v>865</v>
      </c>
      <c r="D527" s="21">
        <v>2021</v>
      </c>
      <c r="E527" s="21" t="s">
        <v>950</v>
      </c>
      <c r="F527" s="21" t="s">
        <v>534</v>
      </c>
      <c r="G527" s="21" t="str">
        <f>HYPERLINK("http://dx.doi.org/10.1016/j.jenvman.2021.112557","http://dx.doi.org/10.1016/j.jenvman.2021.112557")</f>
        <v>http://dx.doi.org/10.1016/j.jenvman.2021.112557</v>
      </c>
      <c r="H527" s="21" t="s">
        <v>2826</v>
      </c>
      <c r="I527" s="21" t="s">
        <v>2832</v>
      </c>
      <c r="J527" s="21" t="s">
        <v>2213</v>
      </c>
      <c r="K527" s="20" t="s">
        <v>0</v>
      </c>
    </row>
    <row r="528" spans="1:11" x14ac:dyDescent="0.2">
      <c r="A528" s="30" t="s">
        <v>1569</v>
      </c>
      <c r="B528" s="21" t="s">
        <v>1249</v>
      </c>
      <c r="C528" s="21" t="s">
        <v>1250</v>
      </c>
      <c r="D528" s="21">
        <v>2013</v>
      </c>
      <c r="E528" s="21" t="s">
        <v>924</v>
      </c>
      <c r="F528" s="21" t="s">
        <v>357</v>
      </c>
      <c r="G528" s="21" t="str">
        <f>HYPERLINK("http://dx.doi.org/10.1021/es302549d","http://dx.doi.org/10.1021/es302549d")</f>
        <v>http://dx.doi.org/10.1021/es302549d</v>
      </c>
      <c r="H528" s="21" t="s">
        <v>2826</v>
      </c>
      <c r="I528" s="21" t="s">
        <v>2832</v>
      </c>
      <c r="J528" s="21" t="s">
        <v>2847</v>
      </c>
      <c r="K528" s="20" t="s">
        <v>0</v>
      </c>
    </row>
    <row r="529" spans="1:11" x14ac:dyDescent="0.2">
      <c r="A529" s="30" t="s">
        <v>2821</v>
      </c>
      <c r="B529" s="21" t="s">
        <v>226</v>
      </c>
      <c r="C529" s="21" t="s">
        <v>227</v>
      </c>
      <c r="D529" s="21">
        <v>2015</v>
      </c>
      <c r="E529" s="21" t="s">
        <v>931</v>
      </c>
      <c r="F529" s="21" t="s">
        <v>228</v>
      </c>
      <c r="G529" s="21" t="str">
        <f>HYPERLINK("http://dx.doi.org/10.1016/j.biombioe.2015.04.024","http://dx.doi.org/10.1016/j.biombioe.2015.04.024")</f>
        <v>http://dx.doi.org/10.1016/j.biombioe.2015.04.024</v>
      </c>
      <c r="H529" s="21" t="s">
        <v>2826</v>
      </c>
      <c r="I529" s="21" t="s">
        <v>2900</v>
      </c>
      <c r="J529" s="21" t="s">
        <v>2828</v>
      </c>
      <c r="K529" s="20" t="s">
        <v>0</v>
      </c>
    </row>
    <row r="530" spans="1:11" x14ac:dyDescent="0.2">
      <c r="A530" s="30" t="s">
        <v>1569</v>
      </c>
      <c r="B530" s="21" t="s">
        <v>1795</v>
      </c>
      <c r="C530" s="21" t="s">
        <v>1432</v>
      </c>
      <c r="D530" s="21">
        <v>2018</v>
      </c>
      <c r="E530" s="21" t="s">
        <v>995</v>
      </c>
      <c r="F530" s="21" t="s">
        <v>213</v>
      </c>
      <c r="G530" s="21" t="str">
        <f>HYPERLINK("http://dx.doi.org/10.1016/j.resconrec.2017.12.026","http://dx.doi.org/10.1016/j.resconrec.2017.12.026")</f>
        <v>http://dx.doi.org/10.1016/j.resconrec.2017.12.026</v>
      </c>
      <c r="H530" s="21" t="s">
        <v>2825</v>
      </c>
      <c r="I530" s="21" t="s">
        <v>2832</v>
      </c>
      <c r="J530" s="21" t="s">
        <v>2891</v>
      </c>
      <c r="K530" s="20" t="s">
        <v>0</v>
      </c>
    </row>
    <row r="531" spans="1:11" x14ac:dyDescent="0.2">
      <c r="A531" s="30" t="s">
        <v>2821</v>
      </c>
      <c r="B531" s="21" t="s">
        <v>997</v>
      </c>
      <c r="C531" s="21" t="s">
        <v>998</v>
      </c>
      <c r="D531" s="21">
        <v>2016</v>
      </c>
      <c r="E531" s="21" t="s">
        <v>41</v>
      </c>
      <c r="F531" s="21" t="s">
        <v>135</v>
      </c>
      <c r="G531" s="21" t="str">
        <f>HYPERLINK("http://dx.doi.org/10.3390/resources5010014","http://dx.doi.org/10.3390/resources5010014")</f>
        <v>http://dx.doi.org/10.3390/resources5010014</v>
      </c>
      <c r="H531" s="21" t="s">
        <v>2826</v>
      </c>
      <c r="I531" s="21" t="s">
        <v>2836</v>
      </c>
      <c r="J531" s="21" t="s">
        <v>2830</v>
      </c>
      <c r="K531" s="20" t="s">
        <v>0</v>
      </c>
    </row>
    <row r="532" spans="1:11" x14ac:dyDescent="0.2">
      <c r="A532" s="30" t="s">
        <v>1569</v>
      </c>
      <c r="B532" s="21" t="s">
        <v>1223</v>
      </c>
      <c r="C532" s="21" t="s">
        <v>84</v>
      </c>
      <c r="D532" s="21">
        <v>2015</v>
      </c>
      <c r="E532" s="21" t="s">
        <v>925</v>
      </c>
      <c r="F532" s="21" t="s">
        <v>167</v>
      </c>
      <c r="G532" s="21" t="str">
        <f>HYPERLINK("http://dx.doi.org/10.1016/j.apenergy.2014.10.082","http://dx.doi.org/10.1016/j.apenergy.2014.10.082")</f>
        <v>http://dx.doi.org/10.1016/j.apenergy.2014.10.082</v>
      </c>
      <c r="H532" s="21" t="s">
        <v>2825</v>
      </c>
      <c r="I532" s="21" t="s">
        <v>2832</v>
      </c>
      <c r="J532" s="21" t="s">
        <v>2884</v>
      </c>
      <c r="K532" s="20" t="s">
        <v>0</v>
      </c>
    </row>
    <row r="533" spans="1:11" x14ac:dyDescent="0.2">
      <c r="A533" s="30" t="s">
        <v>2821</v>
      </c>
      <c r="B533" s="21" t="s">
        <v>1115</v>
      </c>
      <c r="C533" s="21" t="s">
        <v>25</v>
      </c>
      <c r="D533" s="21">
        <v>2015</v>
      </c>
      <c r="E533" s="21" t="s">
        <v>931</v>
      </c>
      <c r="F533" s="21" t="s">
        <v>306</v>
      </c>
      <c r="G533" s="21" t="str">
        <f>HYPERLINK("http://dx.doi.org/10.1016/j.rser.2014.11.072","http://dx.doi.org/10.1016/j.rser.2014.11.072")</f>
        <v>http://dx.doi.org/10.1016/j.rser.2014.11.072</v>
      </c>
      <c r="H533" s="21" t="s">
        <v>2825</v>
      </c>
      <c r="I533" s="21" t="s">
        <v>2835</v>
      </c>
      <c r="J533" s="21" t="s">
        <v>2220</v>
      </c>
      <c r="K533" s="20" t="s">
        <v>0</v>
      </c>
    </row>
    <row r="534" spans="1:11" x14ac:dyDescent="0.2">
      <c r="A534" s="30" t="s">
        <v>1569</v>
      </c>
      <c r="B534" s="21" t="s">
        <v>1696</v>
      </c>
      <c r="C534" s="21" t="s">
        <v>1583</v>
      </c>
      <c r="D534" s="21">
        <v>2019</v>
      </c>
      <c r="E534" s="21" t="s">
        <v>41</v>
      </c>
      <c r="F534" s="21" t="s">
        <v>54</v>
      </c>
      <c r="G534" s="21" t="str">
        <f>HYPERLINK("http://dx.doi.org/10.3390/su11185066","http://dx.doi.org/10.3390/su11185066")</f>
        <v>http://dx.doi.org/10.3390/su11185066</v>
      </c>
      <c r="H534" s="21" t="s">
        <v>2825</v>
      </c>
      <c r="I534" s="21" t="s">
        <v>2209</v>
      </c>
      <c r="J534" s="21" t="s">
        <v>2869</v>
      </c>
      <c r="K534" s="20" t="s">
        <v>0</v>
      </c>
    </row>
    <row r="535" spans="1:11" x14ac:dyDescent="0.2">
      <c r="A535" s="30" t="s">
        <v>1569</v>
      </c>
      <c r="B535" s="21" t="s">
        <v>2161</v>
      </c>
      <c r="C535" s="21" t="s">
        <v>1433</v>
      </c>
      <c r="D535" s="21">
        <v>2012</v>
      </c>
      <c r="E535" s="21" t="s">
        <v>41</v>
      </c>
      <c r="F535" s="21" t="s">
        <v>2162</v>
      </c>
      <c r="G535" s="21" t="s">
        <v>2148</v>
      </c>
      <c r="H535" s="21" t="s">
        <v>2826</v>
      </c>
      <c r="I535" s="21" t="s">
        <v>2835</v>
      </c>
      <c r="J535" s="21" t="s">
        <v>2214</v>
      </c>
      <c r="K535" s="20" t="s">
        <v>0</v>
      </c>
    </row>
    <row r="536" spans="1:11" x14ac:dyDescent="0.2">
      <c r="A536" s="30" t="s">
        <v>1569</v>
      </c>
      <c r="B536" s="21" t="s">
        <v>2017</v>
      </c>
      <c r="C536" s="21" t="s">
        <v>1434</v>
      </c>
      <c r="D536" s="21">
        <v>2014</v>
      </c>
      <c r="E536" s="21" t="s">
        <v>928</v>
      </c>
      <c r="F536" s="21" t="s">
        <v>213</v>
      </c>
      <c r="G536" s="21" t="str">
        <f>HYPERLINK("http://dx.doi.org/10.1016/j.resconrec.2014.01.005","http://dx.doi.org/10.1016/j.resconrec.2014.01.005")</f>
        <v>http://dx.doi.org/10.1016/j.resconrec.2014.01.005</v>
      </c>
      <c r="H536" s="21" t="s">
        <v>2825</v>
      </c>
      <c r="I536" s="21" t="s">
        <v>2832</v>
      </c>
      <c r="J536" s="21" t="s">
        <v>2243</v>
      </c>
      <c r="K536" s="20" t="s">
        <v>0</v>
      </c>
    </row>
    <row r="537" spans="1:11" x14ac:dyDescent="0.2">
      <c r="A537" s="30" t="s">
        <v>2821</v>
      </c>
      <c r="B537" s="21" t="s">
        <v>328</v>
      </c>
      <c r="C537" s="21" t="s">
        <v>83</v>
      </c>
      <c r="D537" s="21">
        <v>2018</v>
      </c>
      <c r="E537" s="21" t="s">
        <v>931</v>
      </c>
      <c r="F537" s="21" t="s">
        <v>329</v>
      </c>
      <c r="G537" s="21" t="str">
        <f>HYPERLINK("http://dx.doi.org/10.1016/j.wasman.2018.09.017","http://dx.doi.org/10.1016/j.wasman.2018.09.017")</f>
        <v>http://dx.doi.org/10.1016/j.wasman.2018.09.017</v>
      </c>
      <c r="H537" s="21" t="s">
        <v>2825</v>
      </c>
      <c r="I537" s="21" t="s">
        <v>2900</v>
      </c>
      <c r="J537" s="21" t="s">
        <v>2828</v>
      </c>
      <c r="K537" s="20" t="s">
        <v>0</v>
      </c>
    </row>
    <row r="538" spans="1:11" x14ac:dyDescent="0.2">
      <c r="A538" s="30" t="s">
        <v>2821</v>
      </c>
      <c r="B538" s="21" t="s">
        <v>467</v>
      </c>
      <c r="C538" s="21" t="s">
        <v>468</v>
      </c>
      <c r="D538" s="21">
        <v>2018</v>
      </c>
      <c r="E538" s="21" t="s">
        <v>930</v>
      </c>
      <c r="F538" s="21" t="s">
        <v>469</v>
      </c>
      <c r="G538" s="21" t="str">
        <f>HYPERLINK("http://dx.doi.org/10.1039/c7gc02154b","http://dx.doi.org/10.1039/c7gc02154b")</f>
        <v>http://dx.doi.org/10.1039/c7gc02154b</v>
      </c>
      <c r="H538" s="21" t="s">
        <v>2826</v>
      </c>
      <c r="I538" s="21" t="s">
        <v>2832</v>
      </c>
      <c r="J538" s="21" t="s">
        <v>2829</v>
      </c>
      <c r="K538" s="20" t="s">
        <v>0</v>
      </c>
    </row>
    <row r="539" spans="1:11" x14ac:dyDescent="0.2">
      <c r="A539" s="30" t="s">
        <v>1569</v>
      </c>
      <c r="B539" s="21" t="s">
        <v>1226</v>
      </c>
      <c r="C539" s="21" t="s">
        <v>97</v>
      </c>
      <c r="D539" s="21">
        <v>2013</v>
      </c>
      <c r="E539" s="21" t="s">
        <v>923</v>
      </c>
      <c r="F539" s="21" t="s">
        <v>127</v>
      </c>
      <c r="G539" s="21" t="str">
        <f>HYPERLINK("http://dx.doi.org/10.1111/j.1530-9290.2012.00531.x","http://dx.doi.org/10.1111/j.1530-9290.2012.00531.x")</f>
        <v>http://dx.doi.org/10.1111/j.1530-9290.2012.00531.x</v>
      </c>
      <c r="H539" s="21" t="s">
        <v>2825</v>
      </c>
      <c r="I539" s="21" t="s">
        <v>2833</v>
      </c>
      <c r="J539" s="21" t="s">
        <v>2827</v>
      </c>
      <c r="K539" s="20" t="s">
        <v>0</v>
      </c>
    </row>
    <row r="540" spans="1:11" x14ac:dyDescent="0.2">
      <c r="A540" s="30" t="s">
        <v>1569</v>
      </c>
      <c r="B540" s="21" t="s">
        <v>2035</v>
      </c>
      <c r="C540" s="21" t="s">
        <v>1435</v>
      </c>
      <c r="D540" s="21">
        <v>2014</v>
      </c>
      <c r="E540" s="21" t="s">
        <v>931</v>
      </c>
      <c r="F540" s="21" t="s">
        <v>329</v>
      </c>
      <c r="G540" s="21" t="str">
        <f>HYPERLINK("http://dx.doi.org/10.1016/j.wasman.2013.08.024","http://dx.doi.org/10.1016/j.wasman.2013.08.024")</f>
        <v>http://dx.doi.org/10.1016/j.wasman.2013.08.024</v>
      </c>
      <c r="H540" s="21" t="s">
        <v>2826</v>
      </c>
      <c r="I540" s="21" t="s">
        <v>2835</v>
      </c>
      <c r="J540" s="21" t="s">
        <v>2218</v>
      </c>
      <c r="K540" s="20" t="s">
        <v>0</v>
      </c>
    </row>
    <row r="541" spans="1:11" x14ac:dyDescent="0.2">
      <c r="A541" s="30" t="s">
        <v>2820</v>
      </c>
      <c r="B541" s="21" t="s">
        <v>2269</v>
      </c>
      <c r="C541" s="21" t="s">
        <v>2266</v>
      </c>
      <c r="D541" s="21">
        <v>2019</v>
      </c>
      <c r="E541" s="21" t="s">
        <v>924</v>
      </c>
      <c r="F541" s="21" t="s">
        <v>357</v>
      </c>
      <c r="G541" s="21" t="str">
        <f>HYPERLINK("http://dx.doi.org/10.1021/acs.est.8b04249","http://dx.doi.org/10.1021/acs.est.8b04249")</f>
        <v>http://dx.doi.org/10.1021/acs.est.8b04249</v>
      </c>
      <c r="H541" s="21" t="s">
        <v>1230</v>
      </c>
      <c r="I541" s="21" t="s">
        <v>2262</v>
      </c>
      <c r="J541" s="21" t="s">
        <v>2262</v>
      </c>
      <c r="K541" s="20" t="s">
        <v>0</v>
      </c>
    </row>
    <row r="542" spans="1:11" x14ac:dyDescent="0.2">
      <c r="A542" s="30" t="s">
        <v>2820</v>
      </c>
      <c r="B542" s="21" t="s">
        <v>2272</v>
      </c>
      <c r="C542" s="21" t="s">
        <v>2273</v>
      </c>
      <c r="D542" s="21">
        <v>2022</v>
      </c>
      <c r="E542" s="21" t="s">
        <v>953</v>
      </c>
      <c r="F542" s="21" t="s">
        <v>2274</v>
      </c>
      <c r="G542" s="21" t="str">
        <f>HYPERLINK("http://dx.doi.org/10.1088/2634-4505/ac8071","http://dx.doi.org/10.1088/2634-4505/ac8071")</f>
        <v>http://dx.doi.org/10.1088/2634-4505/ac8071</v>
      </c>
      <c r="H542" s="21" t="s">
        <v>1230</v>
      </c>
      <c r="I542" s="21" t="s">
        <v>2262</v>
      </c>
      <c r="J542" s="21" t="s">
        <v>2262</v>
      </c>
      <c r="K542" s="20" t="s">
        <v>0</v>
      </c>
    </row>
    <row r="543" spans="1:11" x14ac:dyDescent="0.2">
      <c r="A543" s="30" t="s">
        <v>1569</v>
      </c>
      <c r="B543" s="21" t="s">
        <v>1890</v>
      </c>
      <c r="C543" s="21" t="s">
        <v>1436</v>
      </c>
      <c r="D543" s="21">
        <v>2017</v>
      </c>
      <c r="E543" s="21" t="s">
        <v>926</v>
      </c>
      <c r="F543" s="21" t="s">
        <v>209</v>
      </c>
      <c r="G543" s="21" t="str">
        <f>HYPERLINK("http://dx.doi.org/10.1007/s11367-015-0986-4","http://dx.doi.org/10.1007/s11367-015-0986-4")</f>
        <v>http://dx.doi.org/10.1007/s11367-015-0986-4</v>
      </c>
      <c r="H543" s="21" t="s">
        <v>2826</v>
      </c>
      <c r="I543" s="21" t="s">
        <v>2835</v>
      </c>
      <c r="J543" s="21" t="s">
        <v>2218</v>
      </c>
      <c r="K543" s="20" t="s">
        <v>0</v>
      </c>
    </row>
    <row r="544" spans="1:11" x14ac:dyDescent="0.2">
      <c r="A544" s="30" t="s">
        <v>1569</v>
      </c>
      <c r="B544" s="21" t="s">
        <v>1929</v>
      </c>
      <c r="C544" s="21" t="s">
        <v>1437</v>
      </c>
      <c r="D544" s="21">
        <v>2016</v>
      </c>
      <c r="E544" s="21" t="s">
        <v>931</v>
      </c>
      <c r="F544" s="21" t="s">
        <v>1751</v>
      </c>
      <c r="G544" s="21" t="str">
        <f>HYPERLINK("http://dx.doi.org/10.1016/j.watres.2016.03.022","http://dx.doi.org/10.1016/j.watres.2016.03.022")</f>
        <v>http://dx.doi.org/10.1016/j.watres.2016.03.022</v>
      </c>
      <c r="H544" s="21" t="s">
        <v>2826</v>
      </c>
      <c r="I544" s="21" t="s">
        <v>2835</v>
      </c>
      <c r="J544" s="21" t="s">
        <v>2222</v>
      </c>
      <c r="K544" s="20" t="s">
        <v>0</v>
      </c>
    </row>
    <row r="545" spans="1:11" x14ac:dyDescent="0.2">
      <c r="A545" s="30" t="s">
        <v>1569</v>
      </c>
      <c r="B545" s="21" t="s">
        <v>2057</v>
      </c>
      <c r="C545" s="21" t="s">
        <v>1438</v>
      </c>
      <c r="D545" s="21">
        <v>2012</v>
      </c>
      <c r="E545" s="21" t="s">
        <v>926</v>
      </c>
      <c r="F545" s="21" t="s">
        <v>209</v>
      </c>
      <c r="G545" s="21" t="str">
        <f>HYPERLINK("http://dx.doi.org/10.1007/s11367-012-0421-z","http://dx.doi.org/10.1007/s11367-012-0421-z")</f>
        <v>http://dx.doi.org/10.1007/s11367-012-0421-z</v>
      </c>
      <c r="H545" s="21" t="s">
        <v>2826</v>
      </c>
      <c r="I545" s="21" t="s">
        <v>2835</v>
      </c>
      <c r="J545" s="21" t="s">
        <v>2219</v>
      </c>
      <c r="K545" s="20" t="s">
        <v>0</v>
      </c>
    </row>
    <row r="546" spans="1:11" x14ac:dyDescent="0.2">
      <c r="A546" s="30" t="s">
        <v>2820</v>
      </c>
      <c r="B546" s="21" t="s">
        <v>1224</v>
      </c>
      <c r="C546" s="21" t="s">
        <v>101</v>
      </c>
      <c r="D546" s="21">
        <v>2014</v>
      </c>
      <c r="E546" s="21" t="s">
        <v>924</v>
      </c>
      <c r="F546" s="21" t="s">
        <v>357</v>
      </c>
      <c r="G546" s="21" t="str">
        <f>HYPERLINK("http://dx.doi.org/10.1021/es502930w","http://dx.doi.org/10.1021/es502930w")</f>
        <v>http://dx.doi.org/10.1021/es502930w</v>
      </c>
      <c r="H546" s="21" t="s">
        <v>1230</v>
      </c>
      <c r="I546" s="21" t="s">
        <v>2262</v>
      </c>
      <c r="J546" s="21" t="s">
        <v>2262</v>
      </c>
      <c r="K546" s="20" t="s">
        <v>0</v>
      </c>
    </row>
    <row r="547" spans="1:11" x14ac:dyDescent="0.2">
      <c r="A547" s="30" t="s">
        <v>2821</v>
      </c>
      <c r="B547" s="21" t="s">
        <v>1147</v>
      </c>
      <c r="C547" s="21" t="s">
        <v>1148</v>
      </c>
      <c r="D547" s="21">
        <v>2022</v>
      </c>
      <c r="E547" s="21" t="s">
        <v>996</v>
      </c>
      <c r="F547" s="21" t="s">
        <v>1149</v>
      </c>
      <c r="G547" s="21" t="str">
        <f>HYPERLINK("http://dx.doi.org/10.1177/20530196221095700","http://dx.doi.org/10.1177/20530196221095700")</f>
        <v>http://dx.doi.org/10.1177/20530196221095700</v>
      </c>
      <c r="H547" s="21" t="s">
        <v>2826</v>
      </c>
      <c r="I547" s="21" t="s">
        <v>2900</v>
      </c>
      <c r="J547" s="21" t="s">
        <v>2828</v>
      </c>
      <c r="K547" s="20" t="s">
        <v>0</v>
      </c>
    </row>
    <row r="548" spans="1:11" x14ac:dyDescent="0.2">
      <c r="A548" s="30" t="s">
        <v>1569</v>
      </c>
      <c r="B548" s="21" t="s">
        <v>1813</v>
      </c>
      <c r="C548" s="21" t="s">
        <v>1439</v>
      </c>
      <c r="D548" s="21">
        <v>2018</v>
      </c>
      <c r="E548" s="21" t="s">
        <v>925</v>
      </c>
      <c r="F548" s="21" t="s">
        <v>144</v>
      </c>
      <c r="G548" s="21" t="str">
        <f>HYPERLINK("http://dx.doi.org/10.1016/j.jclepro.2017.09.195","http://dx.doi.org/10.1016/j.jclepro.2017.09.195")</f>
        <v>http://dx.doi.org/10.1016/j.jclepro.2017.09.195</v>
      </c>
      <c r="H548" s="21" t="s">
        <v>2826</v>
      </c>
      <c r="I548" s="21" t="s">
        <v>2835</v>
      </c>
      <c r="J548" s="21" t="s">
        <v>2218</v>
      </c>
      <c r="K548" s="20" t="s">
        <v>0</v>
      </c>
    </row>
    <row r="549" spans="1:11" x14ac:dyDescent="0.2">
      <c r="A549" s="30" t="s">
        <v>2821</v>
      </c>
      <c r="B549" s="21" t="s">
        <v>430</v>
      </c>
      <c r="C549" s="21" t="s">
        <v>431</v>
      </c>
      <c r="D549" s="21">
        <v>2024</v>
      </c>
      <c r="E549" s="21" t="s">
        <v>926</v>
      </c>
      <c r="F549" s="21" t="s">
        <v>209</v>
      </c>
      <c r="G549" s="21" t="str">
        <f>HYPERLINK("http://dx.doi.org/10.1007/s11367-024-02353-3","http://dx.doi.org/10.1007/s11367-024-02353-3")</f>
        <v>http://dx.doi.org/10.1007/s11367-024-02353-3</v>
      </c>
      <c r="H549" s="21" t="s">
        <v>2826</v>
      </c>
      <c r="I549" s="21" t="s">
        <v>2832</v>
      </c>
      <c r="J549" s="21" t="s">
        <v>2847</v>
      </c>
      <c r="K549" s="20" t="s">
        <v>0</v>
      </c>
    </row>
    <row r="550" spans="1:11" x14ac:dyDescent="0.2">
      <c r="A550" s="30" t="s">
        <v>1569</v>
      </c>
      <c r="B550" s="21" t="s">
        <v>1909</v>
      </c>
      <c r="C550" s="21" t="s">
        <v>1639</v>
      </c>
      <c r="D550" s="21">
        <v>2016</v>
      </c>
      <c r="E550" s="21" t="s">
        <v>928</v>
      </c>
      <c r="F550" s="21" t="s">
        <v>1910</v>
      </c>
      <c r="G550" s="21" t="str">
        <f>HYPERLINK("http://dx.doi.org/10.1016/j.scs.2016.06.002","http://dx.doi.org/10.1016/j.scs.2016.06.002")</f>
        <v>http://dx.doi.org/10.1016/j.scs.2016.06.002</v>
      </c>
      <c r="H550" s="21" t="s">
        <v>2826</v>
      </c>
      <c r="I550" s="21" t="s">
        <v>2835</v>
      </c>
      <c r="J550" s="21" t="s">
        <v>2218</v>
      </c>
      <c r="K550" s="20" t="s">
        <v>0</v>
      </c>
    </row>
    <row r="551" spans="1:11" x14ac:dyDescent="0.2">
      <c r="A551" s="30" t="s">
        <v>1569</v>
      </c>
      <c r="B551" s="21" t="s">
        <v>2149</v>
      </c>
      <c r="C551" s="21" t="s">
        <v>2150</v>
      </c>
      <c r="D551" s="21">
        <v>2009</v>
      </c>
      <c r="E551" s="21" t="s">
        <v>2151</v>
      </c>
      <c r="F551" s="21" t="s">
        <v>2152</v>
      </c>
      <c r="G551" s="21" t="str">
        <f>HYPERLINK("http://dx.doi.org/10.3176/oil.2009.3S.14","http://dx.doi.org/10.3176/oil.2009.3S.14")</f>
        <v>http://dx.doi.org/10.3176/oil.2009.3S.14</v>
      </c>
      <c r="H551" s="21" t="s">
        <v>2826</v>
      </c>
      <c r="I551" s="21" t="s">
        <v>2832</v>
      </c>
      <c r="J551" s="21" t="s">
        <v>2847</v>
      </c>
      <c r="K551" s="20" t="s">
        <v>0</v>
      </c>
    </row>
    <row r="552" spans="1:11" x14ac:dyDescent="0.2">
      <c r="A552" s="30" t="s">
        <v>2821</v>
      </c>
      <c r="B552" s="21" t="s">
        <v>280</v>
      </c>
      <c r="C552" s="21" t="s">
        <v>111</v>
      </c>
      <c r="D552" s="21">
        <v>2021</v>
      </c>
      <c r="E552" s="21" t="s">
        <v>931</v>
      </c>
      <c r="F552" s="21" t="s">
        <v>147</v>
      </c>
      <c r="G552" s="21" t="str">
        <f>HYPERLINK("http://dx.doi.org/10.1016/j.trd.2021.102807","http://dx.doi.org/10.1016/j.trd.2021.102807")</f>
        <v>http://dx.doi.org/10.1016/j.trd.2021.102807</v>
      </c>
      <c r="H552" s="21" t="s">
        <v>2825</v>
      </c>
      <c r="I552" s="21" t="s">
        <v>2833</v>
      </c>
      <c r="J552" s="21" t="s">
        <v>2827</v>
      </c>
      <c r="K552" s="20" t="s">
        <v>0</v>
      </c>
    </row>
    <row r="553" spans="1:11" x14ac:dyDescent="0.2">
      <c r="A553" s="30" t="s">
        <v>2821</v>
      </c>
      <c r="B553" s="21" t="s">
        <v>463</v>
      </c>
      <c r="C553" s="21" t="s">
        <v>464</v>
      </c>
      <c r="D553" s="21">
        <v>2022</v>
      </c>
      <c r="E553" s="21" t="s">
        <v>924</v>
      </c>
      <c r="F553" s="21" t="s">
        <v>357</v>
      </c>
      <c r="G553" s="21" t="str">
        <f>HYPERLINK("http://dx.doi.org/10.1021/acs.est.2c00018","http://dx.doi.org/10.1021/acs.est.2c00018")</f>
        <v>http://dx.doi.org/10.1021/acs.est.2c00018</v>
      </c>
      <c r="H553" s="21" t="s">
        <v>2825</v>
      </c>
      <c r="I553" s="21" t="s">
        <v>2833</v>
      </c>
      <c r="J553" s="21" t="s">
        <v>2827</v>
      </c>
      <c r="K553" s="20" t="s">
        <v>0</v>
      </c>
    </row>
    <row r="554" spans="1:11" x14ac:dyDescent="0.2">
      <c r="A554" s="30" t="s">
        <v>1569</v>
      </c>
      <c r="B554" s="21" t="s">
        <v>1721</v>
      </c>
      <c r="C554" s="21" t="s">
        <v>1606</v>
      </c>
      <c r="D554" s="21">
        <v>2019</v>
      </c>
      <c r="E554" s="21" t="s">
        <v>925</v>
      </c>
      <c r="F554" s="21" t="s">
        <v>167</v>
      </c>
      <c r="G554" s="21" t="str">
        <f>HYPERLINK("http://dx.doi.org/10.1016/j.apenergy.2019.01.237","http://dx.doi.org/10.1016/j.apenergy.2019.01.237")</f>
        <v>http://dx.doi.org/10.1016/j.apenergy.2019.01.237</v>
      </c>
      <c r="H554" s="21" t="s">
        <v>2826</v>
      </c>
      <c r="I554" s="21" t="s">
        <v>2834</v>
      </c>
      <c r="J554" s="21" t="s">
        <v>2208</v>
      </c>
      <c r="K554" s="20" t="s">
        <v>0</v>
      </c>
    </row>
    <row r="555" spans="1:11" x14ac:dyDescent="0.2">
      <c r="A555" s="30" t="s">
        <v>2822</v>
      </c>
      <c r="B555" s="21" t="s">
        <v>401</v>
      </c>
      <c r="C555" s="21" t="s">
        <v>5</v>
      </c>
      <c r="D555" s="21">
        <v>2024</v>
      </c>
      <c r="E555" s="21" t="s">
        <v>925</v>
      </c>
      <c r="F555" s="21" t="s">
        <v>144</v>
      </c>
      <c r="G555" s="21" t="str">
        <f>HYPERLINK("http://dx.doi.org/10.1016/j.jclepro.2024.141884","http://dx.doi.org/10.1016/j.jclepro.2024.141884")</f>
        <v>http://dx.doi.org/10.1016/j.jclepro.2024.141884</v>
      </c>
      <c r="H555" s="21" t="s">
        <v>1230</v>
      </c>
      <c r="I555" s="21" t="s">
        <v>2262</v>
      </c>
      <c r="J555" s="21" t="s">
        <v>2262</v>
      </c>
      <c r="K555" s="20" t="s">
        <v>0</v>
      </c>
    </row>
    <row r="556" spans="1:11" x14ac:dyDescent="0.2">
      <c r="A556" s="30" t="s">
        <v>2821</v>
      </c>
      <c r="B556" s="21" t="s">
        <v>969</v>
      </c>
      <c r="C556" s="21" t="s">
        <v>970</v>
      </c>
      <c r="D556" s="21">
        <v>1994</v>
      </c>
      <c r="E556" s="21" t="s">
        <v>971</v>
      </c>
      <c r="F556" s="21" t="s">
        <v>972</v>
      </c>
      <c r="G556" s="21" t="s">
        <v>2262</v>
      </c>
      <c r="H556" s="21" t="s">
        <v>2826</v>
      </c>
      <c r="I556" s="21" t="s">
        <v>2836</v>
      </c>
      <c r="J556" s="21" t="s">
        <v>2830</v>
      </c>
      <c r="K556" s="20" t="s">
        <v>0</v>
      </c>
    </row>
    <row r="557" spans="1:11" x14ac:dyDescent="0.2">
      <c r="A557" s="30" t="s">
        <v>2821</v>
      </c>
      <c r="B557" s="21" t="s">
        <v>666</v>
      </c>
      <c r="C557" s="21" t="s">
        <v>667</v>
      </c>
      <c r="D557" s="21">
        <v>1996</v>
      </c>
      <c r="E557" s="21" t="s">
        <v>995</v>
      </c>
      <c r="F557" s="21" t="s">
        <v>668</v>
      </c>
      <c r="G557" s="21" t="str">
        <f>HYPERLINK("http://dx.doi.org/10.1016/0883-9026(95)00106-9","http://dx.doi.org/10.1016/0883-9026(95)00106-9")</f>
        <v>http://dx.doi.org/10.1016/0883-9026(95)00106-9</v>
      </c>
      <c r="H557" s="21" t="s">
        <v>2826</v>
      </c>
      <c r="I557" s="21" t="s">
        <v>2836</v>
      </c>
      <c r="J557" s="21" t="s">
        <v>2830</v>
      </c>
      <c r="K557" s="20" t="s">
        <v>0</v>
      </c>
    </row>
    <row r="558" spans="1:11" x14ac:dyDescent="0.2">
      <c r="A558" s="30" t="s">
        <v>1569</v>
      </c>
      <c r="B558" s="21" t="s">
        <v>2085</v>
      </c>
      <c r="C558" s="21" t="s">
        <v>1662</v>
      </c>
      <c r="D558" s="21">
        <v>2011</v>
      </c>
      <c r="E558" s="21" t="s">
        <v>924</v>
      </c>
      <c r="F558" s="21" t="s">
        <v>357</v>
      </c>
      <c r="G558" s="21" t="str">
        <f>HYPERLINK("http://dx.doi.org/10.1021/es1024993","http://dx.doi.org/10.1021/es1024993")</f>
        <v>http://dx.doi.org/10.1021/es1024993</v>
      </c>
      <c r="H558" s="21" t="s">
        <v>2826</v>
      </c>
      <c r="I558" s="21" t="s">
        <v>2835</v>
      </c>
      <c r="J558" s="21" t="s">
        <v>2218</v>
      </c>
      <c r="K558" s="20" t="s">
        <v>0</v>
      </c>
    </row>
    <row r="559" spans="1:11" x14ac:dyDescent="0.2">
      <c r="A559" s="30" t="s">
        <v>1569</v>
      </c>
      <c r="B559" s="21" t="s">
        <v>1727</v>
      </c>
      <c r="C559" s="21" t="s">
        <v>1610</v>
      </c>
      <c r="D559" s="21">
        <v>2019</v>
      </c>
      <c r="E559" s="21" t="s">
        <v>925</v>
      </c>
      <c r="F559" s="21" t="s">
        <v>144</v>
      </c>
      <c r="G559" s="21" t="str">
        <f>HYPERLINK("http://dx.doi.org/10.1016/j.jclepro.2018.12.074","http://dx.doi.org/10.1016/j.jclepro.2018.12.074")</f>
        <v>http://dx.doi.org/10.1016/j.jclepro.2018.12.074</v>
      </c>
      <c r="H559" s="21" t="s">
        <v>2826</v>
      </c>
      <c r="I559" s="21" t="s">
        <v>2835</v>
      </c>
      <c r="J559" s="21" t="s">
        <v>2214</v>
      </c>
      <c r="K559" s="20" t="s">
        <v>0</v>
      </c>
    </row>
    <row r="560" spans="1:11" x14ac:dyDescent="0.2">
      <c r="A560" s="30" t="s">
        <v>1569</v>
      </c>
      <c r="B560" s="21" t="s">
        <v>2040</v>
      </c>
      <c r="C560" s="21" t="s">
        <v>1440</v>
      </c>
      <c r="D560" s="21">
        <v>2013</v>
      </c>
      <c r="E560" s="21" t="s">
        <v>931</v>
      </c>
      <c r="F560" s="21" t="s">
        <v>329</v>
      </c>
      <c r="G560" s="21" t="str">
        <f>HYPERLINK("http://dx.doi.org/10.1016/j.wasman.2013.07.013","http://dx.doi.org/10.1016/j.wasman.2013.07.013")</f>
        <v>http://dx.doi.org/10.1016/j.wasman.2013.07.013</v>
      </c>
      <c r="H560" s="21" t="s">
        <v>2825</v>
      </c>
      <c r="I560" s="21" t="s">
        <v>2900</v>
      </c>
      <c r="J560" s="21" t="s">
        <v>2828</v>
      </c>
      <c r="K560" s="20" t="s">
        <v>0</v>
      </c>
    </row>
    <row r="561" spans="1:11" x14ac:dyDescent="0.2">
      <c r="A561" s="30" t="s">
        <v>1569</v>
      </c>
      <c r="B561" s="21" t="s">
        <v>1969</v>
      </c>
      <c r="C561" s="21" t="s">
        <v>1441</v>
      </c>
      <c r="D561" s="21">
        <v>2015</v>
      </c>
      <c r="E561" s="21" t="s">
        <v>923</v>
      </c>
      <c r="F561" s="21" t="s">
        <v>1114</v>
      </c>
      <c r="G561" s="21" t="str">
        <f>HYPERLINK("http://dx.doi.org/10.1111/gcbb.12204","http://dx.doi.org/10.1111/gcbb.12204")</f>
        <v>http://dx.doi.org/10.1111/gcbb.12204</v>
      </c>
      <c r="H561" s="21" t="s">
        <v>2826</v>
      </c>
      <c r="I561" s="21" t="s">
        <v>2835</v>
      </c>
      <c r="J561" s="21" t="s">
        <v>2218</v>
      </c>
      <c r="K561" s="20" t="s">
        <v>0</v>
      </c>
    </row>
    <row r="562" spans="1:11" x14ac:dyDescent="0.2">
      <c r="A562" s="30" t="s">
        <v>1569</v>
      </c>
      <c r="B562" s="21" t="s">
        <v>1985</v>
      </c>
      <c r="C562" s="21" t="s">
        <v>1442</v>
      </c>
      <c r="D562" s="21">
        <v>2015</v>
      </c>
      <c r="E562" s="21" t="s">
        <v>925</v>
      </c>
      <c r="F562" s="21" t="s">
        <v>144</v>
      </c>
      <c r="G562" s="21" t="str">
        <f>HYPERLINK("http://dx.doi.org/10.1016/j.jclepro.2015.01.001","http://dx.doi.org/10.1016/j.jclepro.2015.01.001")</f>
        <v>http://dx.doi.org/10.1016/j.jclepro.2015.01.001</v>
      </c>
      <c r="H562" s="21" t="s">
        <v>2825</v>
      </c>
      <c r="I562" s="21" t="s">
        <v>2835</v>
      </c>
      <c r="J562" s="21" t="s">
        <v>2218</v>
      </c>
      <c r="K562" s="20" t="s">
        <v>0</v>
      </c>
    </row>
    <row r="563" spans="1:11" x14ac:dyDescent="0.2">
      <c r="A563" s="30" t="s">
        <v>2821</v>
      </c>
      <c r="B563" s="21" t="s">
        <v>1041</v>
      </c>
      <c r="C563" s="21" t="s">
        <v>1042</v>
      </c>
      <c r="D563" s="21">
        <v>2017</v>
      </c>
      <c r="E563" s="21" t="s">
        <v>1034</v>
      </c>
      <c r="F563" s="21" t="s">
        <v>1043</v>
      </c>
      <c r="G563" s="21" t="str">
        <f>HYPERLINK("http://dx.doi.org/10.1080/16066359.2017.1307967","http://dx.doi.org/10.1080/16066359.2017.1307967")</f>
        <v>http://dx.doi.org/10.1080/16066359.2017.1307967</v>
      </c>
      <c r="H563" s="21" t="s">
        <v>2826</v>
      </c>
      <c r="I563" s="21" t="s">
        <v>2836</v>
      </c>
      <c r="J563" s="21" t="s">
        <v>2830</v>
      </c>
      <c r="K563" s="20" t="s">
        <v>0</v>
      </c>
    </row>
    <row r="564" spans="1:11" x14ac:dyDescent="0.2">
      <c r="A564" s="30" t="s">
        <v>1569</v>
      </c>
      <c r="B564" s="21" t="s">
        <v>1771</v>
      </c>
      <c r="C564" s="21" t="s">
        <v>1443</v>
      </c>
      <c r="D564" s="21">
        <v>2018</v>
      </c>
      <c r="E564" s="21" t="s">
        <v>928</v>
      </c>
      <c r="F564" s="21" t="s">
        <v>197</v>
      </c>
      <c r="G564" s="21" t="str">
        <f>HYPERLINK("http://dx.doi.org/10.1016/j.scitotenv.2018.03.088","http://dx.doi.org/10.1016/j.scitotenv.2018.03.088")</f>
        <v>http://dx.doi.org/10.1016/j.scitotenv.2018.03.088</v>
      </c>
      <c r="H564" s="21" t="s">
        <v>2826</v>
      </c>
      <c r="I564" s="21" t="s">
        <v>2835</v>
      </c>
      <c r="J564" s="21" t="s">
        <v>2218</v>
      </c>
      <c r="K564" s="20" t="s">
        <v>0</v>
      </c>
    </row>
    <row r="565" spans="1:11" x14ac:dyDescent="0.2">
      <c r="A565" s="30" t="s">
        <v>2821</v>
      </c>
      <c r="B565" s="21" t="s">
        <v>661</v>
      </c>
      <c r="C565" s="21" t="s">
        <v>662</v>
      </c>
      <c r="D565" s="21">
        <v>2024</v>
      </c>
      <c r="E565" s="21" t="s">
        <v>930</v>
      </c>
      <c r="F565" s="21" t="s">
        <v>469</v>
      </c>
      <c r="G565" s="21" t="str">
        <f>HYPERLINK("http://dx.doi.org/10.1039/d4gc00392f","http://dx.doi.org/10.1039/d4gc00392f")</f>
        <v>http://dx.doi.org/10.1039/d4gc00392f</v>
      </c>
      <c r="H565" s="21" t="s">
        <v>1230</v>
      </c>
      <c r="I565" s="21" t="s">
        <v>2262</v>
      </c>
      <c r="J565" s="21" t="s">
        <v>2262</v>
      </c>
      <c r="K565" s="20" t="s">
        <v>0</v>
      </c>
    </row>
    <row r="566" spans="1:11" x14ac:dyDescent="0.2">
      <c r="A566" s="30" t="s">
        <v>2820</v>
      </c>
      <c r="B566" s="21" t="s">
        <v>2312</v>
      </c>
      <c r="C566" s="21" t="s">
        <v>2313</v>
      </c>
      <c r="D566" s="21">
        <v>2022</v>
      </c>
      <c r="E566" s="21" t="s">
        <v>928</v>
      </c>
      <c r="F566" s="21" t="s">
        <v>2314</v>
      </c>
      <c r="G566" s="21" t="str">
        <f>HYPERLINK("http://dx.doi.org/10.1016/j.egyr.2022.03.143","http://dx.doi.org/10.1016/j.egyr.2022.03.143")</f>
        <v>http://dx.doi.org/10.1016/j.egyr.2022.03.143</v>
      </c>
      <c r="H566" s="21" t="s">
        <v>1230</v>
      </c>
      <c r="I566" s="21" t="s">
        <v>2262</v>
      </c>
      <c r="J566" s="21" t="s">
        <v>2262</v>
      </c>
      <c r="K566" s="20" t="s">
        <v>0</v>
      </c>
    </row>
    <row r="567" spans="1:11" x14ac:dyDescent="0.2">
      <c r="A567" s="30" t="s">
        <v>2820</v>
      </c>
      <c r="B567" s="21" t="s">
        <v>1203</v>
      </c>
      <c r="C567" s="21" t="s">
        <v>67</v>
      </c>
      <c r="D567" s="21">
        <v>2021</v>
      </c>
      <c r="E567" s="21" t="s">
        <v>41</v>
      </c>
      <c r="F567" s="21" t="s">
        <v>54</v>
      </c>
      <c r="G567" s="21" t="str">
        <f>HYPERLINK("http://dx.doi.org/10.3390/su13095217","http://dx.doi.org/10.3390/su13095217")</f>
        <v>http://dx.doi.org/10.3390/su13095217</v>
      </c>
      <c r="H567" s="21" t="s">
        <v>1230</v>
      </c>
      <c r="I567" s="21" t="s">
        <v>2262</v>
      </c>
      <c r="J567" s="21" t="s">
        <v>2262</v>
      </c>
      <c r="K567" s="20" t="s">
        <v>0</v>
      </c>
    </row>
    <row r="568" spans="1:11" x14ac:dyDescent="0.2">
      <c r="A568" s="30" t="s">
        <v>1569</v>
      </c>
      <c r="B568" s="21" t="s">
        <v>2012</v>
      </c>
      <c r="C568" s="21" t="s">
        <v>1444</v>
      </c>
      <c r="D568" s="21">
        <v>2014</v>
      </c>
      <c r="E568" s="21" t="s">
        <v>925</v>
      </c>
      <c r="F568" s="21" t="s">
        <v>2013</v>
      </c>
      <c r="G568" s="21" t="str">
        <f>HYPERLINK("http://dx.doi.org/10.1016/j.tranpol.2014.05.004","http://dx.doi.org/10.1016/j.tranpol.2014.05.004")</f>
        <v>http://dx.doi.org/10.1016/j.tranpol.2014.05.004</v>
      </c>
      <c r="H568" s="21" t="s">
        <v>2826</v>
      </c>
      <c r="I568" s="21" t="s">
        <v>2835</v>
      </c>
      <c r="J568" s="21" t="s">
        <v>2214</v>
      </c>
      <c r="K568" s="20" t="s">
        <v>0</v>
      </c>
    </row>
    <row r="569" spans="1:11" x14ac:dyDescent="0.2">
      <c r="A569" s="30" t="s">
        <v>2821</v>
      </c>
      <c r="B569" s="21" t="s">
        <v>767</v>
      </c>
      <c r="C569" s="21" t="s">
        <v>768</v>
      </c>
      <c r="D569" s="21">
        <v>2024</v>
      </c>
      <c r="E569" s="21" t="s">
        <v>926</v>
      </c>
      <c r="F569" s="21" t="s">
        <v>769</v>
      </c>
      <c r="G569" s="21" t="str">
        <f>HYPERLINK("http://dx.doi.org/10.1007/s00394-023-03305-7","http://dx.doi.org/10.1007/s00394-023-03305-7")</f>
        <v>http://dx.doi.org/10.1007/s00394-023-03305-7</v>
      </c>
      <c r="H569" s="21" t="s">
        <v>2826</v>
      </c>
      <c r="I569" s="21" t="s">
        <v>2836</v>
      </c>
      <c r="J569" s="21" t="s">
        <v>2830</v>
      </c>
      <c r="K569" s="20" t="s">
        <v>0</v>
      </c>
    </row>
    <row r="570" spans="1:11" x14ac:dyDescent="0.2">
      <c r="A570" s="30" t="s">
        <v>1569</v>
      </c>
      <c r="B570" s="21" t="s">
        <v>2112</v>
      </c>
      <c r="C570" s="21" t="s">
        <v>1445</v>
      </c>
      <c r="D570" s="21">
        <v>2007</v>
      </c>
      <c r="E570" s="21" t="s">
        <v>926</v>
      </c>
      <c r="F570" s="21" t="s">
        <v>209</v>
      </c>
      <c r="G570" s="21" t="str">
        <f>HYPERLINK("http://dx.doi.org/10.1065/lca2006.11.281","http://dx.doi.org/10.1065/lca2006.11.281")</f>
        <v>http://dx.doi.org/10.1065/lca2006.11.281</v>
      </c>
      <c r="H570" s="21" t="s">
        <v>2825</v>
      </c>
      <c r="I570" s="21" t="s">
        <v>2832</v>
      </c>
      <c r="J570" s="21" t="s">
        <v>2847</v>
      </c>
      <c r="K570" s="20" t="s">
        <v>0</v>
      </c>
    </row>
    <row r="571" spans="1:11" x14ac:dyDescent="0.2">
      <c r="A571" s="30" t="s">
        <v>2821</v>
      </c>
      <c r="B571" s="21" t="s">
        <v>424</v>
      </c>
      <c r="C571" s="21" t="s">
        <v>425</v>
      </c>
      <c r="D571" s="21">
        <v>2020</v>
      </c>
      <c r="E571" s="21" t="s">
        <v>925</v>
      </c>
      <c r="F571" s="21" t="s">
        <v>167</v>
      </c>
      <c r="G571" s="21" t="str">
        <f>HYPERLINK("http://dx.doi.org/10.1016/j.apenergy.2019.114121","http://dx.doi.org/10.1016/j.apenergy.2019.114121")</f>
        <v>http://dx.doi.org/10.1016/j.apenergy.2019.114121</v>
      </c>
      <c r="H571" s="21" t="s">
        <v>1230</v>
      </c>
      <c r="I571" s="21" t="s">
        <v>2262</v>
      </c>
      <c r="J571" s="21" t="s">
        <v>2262</v>
      </c>
      <c r="K571" s="20" t="s">
        <v>0</v>
      </c>
    </row>
    <row r="572" spans="1:11" x14ac:dyDescent="0.2">
      <c r="A572" s="30" t="s">
        <v>2821</v>
      </c>
      <c r="B572" s="21" t="s">
        <v>424</v>
      </c>
      <c r="C572" s="21" t="s">
        <v>618</v>
      </c>
      <c r="D572" s="21">
        <v>2021</v>
      </c>
      <c r="E572" s="21" t="s">
        <v>928</v>
      </c>
      <c r="F572" s="21" t="s">
        <v>197</v>
      </c>
      <c r="G572" s="21" t="str">
        <f>HYPERLINK("http://dx.doi.org/10.1016/j.scitotenv.2021.145432","http://dx.doi.org/10.1016/j.scitotenv.2021.145432")</f>
        <v>http://dx.doi.org/10.1016/j.scitotenv.2021.145432</v>
      </c>
      <c r="H572" s="21" t="s">
        <v>1230</v>
      </c>
      <c r="I572" s="21" t="s">
        <v>2262</v>
      </c>
      <c r="J572" s="21" t="s">
        <v>2262</v>
      </c>
      <c r="K572" s="20" t="s">
        <v>0</v>
      </c>
    </row>
    <row r="573" spans="1:11" x14ac:dyDescent="0.2">
      <c r="A573" s="30" t="s">
        <v>2821</v>
      </c>
      <c r="B573" s="21" t="s">
        <v>235</v>
      </c>
      <c r="C573" s="21" t="s">
        <v>236</v>
      </c>
      <c r="D573" s="21">
        <v>2018</v>
      </c>
      <c r="E573" s="21" t="s">
        <v>41</v>
      </c>
      <c r="F573" s="21" t="s">
        <v>90</v>
      </c>
      <c r="G573" s="21" t="str">
        <f>HYPERLINK("http://dx.doi.org/10.3390/en11051185","http://dx.doi.org/10.3390/en11051185")</f>
        <v>http://dx.doi.org/10.3390/en11051185</v>
      </c>
      <c r="H573" s="21" t="s">
        <v>2825</v>
      </c>
      <c r="I573" s="21" t="s">
        <v>2832</v>
      </c>
      <c r="J573" s="21" t="s">
        <v>2884</v>
      </c>
      <c r="K573" s="20" t="s">
        <v>0</v>
      </c>
    </row>
    <row r="574" spans="1:11" x14ac:dyDescent="0.2">
      <c r="A574" s="30" t="s">
        <v>2821</v>
      </c>
      <c r="B574" s="21" t="s">
        <v>235</v>
      </c>
      <c r="C574" s="21" t="s">
        <v>1095</v>
      </c>
      <c r="D574" s="21">
        <v>2019</v>
      </c>
      <c r="E574" s="21" t="s">
        <v>931</v>
      </c>
      <c r="F574" s="21" t="s">
        <v>306</v>
      </c>
      <c r="G574" s="21" t="str">
        <f>HYPERLINK("http://dx.doi.org/10.1016/j.rser.2019.05.041","http://dx.doi.org/10.1016/j.rser.2019.05.041")</f>
        <v>http://dx.doi.org/10.1016/j.rser.2019.05.041</v>
      </c>
      <c r="H574" s="21" t="s">
        <v>2826</v>
      </c>
      <c r="I574" s="21" t="s">
        <v>2900</v>
      </c>
      <c r="J574" s="21" t="s">
        <v>2828</v>
      </c>
      <c r="K574" s="20" t="s">
        <v>0</v>
      </c>
    </row>
    <row r="575" spans="1:11" x14ac:dyDescent="0.2">
      <c r="A575" s="30" t="s">
        <v>2821</v>
      </c>
      <c r="B575" s="21" t="s">
        <v>283</v>
      </c>
      <c r="C575" s="21" t="s">
        <v>284</v>
      </c>
      <c r="D575" s="21">
        <v>2023</v>
      </c>
      <c r="E575" s="21" t="s">
        <v>929</v>
      </c>
      <c r="F575" s="21" t="s">
        <v>285</v>
      </c>
      <c r="G575" s="21" t="str">
        <f>HYPERLINK("http://dx.doi.org/10.1007/s10668-022-02633-8","http://dx.doi.org/10.1007/s10668-022-02633-8")</f>
        <v>http://dx.doi.org/10.1007/s10668-022-02633-8</v>
      </c>
      <c r="H575" s="21" t="s">
        <v>2826</v>
      </c>
      <c r="I575" s="21" t="s">
        <v>2835</v>
      </c>
      <c r="J575" s="21" t="s">
        <v>2218</v>
      </c>
      <c r="K575" s="20" t="s">
        <v>0</v>
      </c>
    </row>
    <row r="576" spans="1:11" x14ac:dyDescent="0.2">
      <c r="A576" s="30" t="s">
        <v>1569</v>
      </c>
      <c r="B576" s="21" t="s">
        <v>1957</v>
      </c>
      <c r="C576" s="21" t="s">
        <v>1446</v>
      </c>
      <c r="D576" s="21">
        <v>2015</v>
      </c>
      <c r="E576" s="21" t="s">
        <v>925</v>
      </c>
      <c r="F576" s="21" t="s">
        <v>167</v>
      </c>
      <c r="G576" s="21" t="str">
        <f>HYPERLINK("http://dx.doi.org/10.1016/j.apenergy.2015.08.052","http://dx.doi.org/10.1016/j.apenergy.2015.08.052")</f>
        <v>http://dx.doi.org/10.1016/j.apenergy.2015.08.052</v>
      </c>
      <c r="H576" s="21" t="s">
        <v>2826</v>
      </c>
      <c r="I576" s="21" t="s">
        <v>2835</v>
      </c>
      <c r="J576" s="21" t="s">
        <v>2218</v>
      </c>
      <c r="K576" s="20" t="s">
        <v>0</v>
      </c>
    </row>
    <row r="577" spans="1:11" x14ac:dyDescent="0.2">
      <c r="A577" s="30" t="s">
        <v>1569</v>
      </c>
      <c r="B577" s="21" t="s">
        <v>1979</v>
      </c>
      <c r="C577" s="21" t="s">
        <v>1447</v>
      </c>
      <c r="D577" s="21">
        <v>2015</v>
      </c>
      <c r="E577" s="21" t="s">
        <v>925</v>
      </c>
      <c r="F577" s="21" t="s">
        <v>1846</v>
      </c>
      <c r="G577" s="21" t="str">
        <f>HYPERLINK("http://dx.doi.org/10.1016/j.agsy.2015.02.007","http://dx.doi.org/10.1016/j.agsy.2015.02.007")</f>
        <v>http://dx.doi.org/10.1016/j.agsy.2015.02.007</v>
      </c>
      <c r="H577" s="21" t="s">
        <v>2826</v>
      </c>
      <c r="I577" s="21" t="s">
        <v>2835</v>
      </c>
      <c r="J577" s="21" t="s">
        <v>2218</v>
      </c>
      <c r="K577" s="20" t="s">
        <v>0</v>
      </c>
    </row>
    <row r="578" spans="1:11" x14ac:dyDescent="0.2">
      <c r="A578" s="30" t="s">
        <v>1569</v>
      </c>
      <c r="B578" s="21" t="s">
        <v>1958</v>
      </c>
      <c r="C578" s="21" t="s">
        <v>1448</v>
      </c>
      <c r="D578" s="21">
        <v>2015</v>
      </c>
      <c r="E578" s="21" t="s">
        <v>925</v>
      </c>
      <c r="F578" s="21" t="s">
        <v>144</v>
      </c>
      <c r="G578" s="21" t="str">
        <f>HYPERLINK("http://dx.doi.org/10.1016/j.jclepro.2015.05.061","http://dx.doi.org/10.1016/j.jclepro.2015.05.061")</f>
        <v>http://dx.doi.org/10.1016/j.jclepro.2015.05.061</v>
      </c>
      <c r="H578" s="21" t="s">
        <v>2826</v>
      </c>
      <c r="I578" s="21" t="s">
        <v>2835</v>
      </c>
      <c r="J578" s="21" t="s">
        <v>2218</v>
      </c>
      <c r="K578" s="20" t="s">
        <v>0</v>
      </c>
    </row>
    <row r="579" spans="1:11" x14ac:dyDescent="0.2">
      <c r="A579" s="30" t="s">
        <v>2821</v>
      </c>
      <c r="B579" s="21" t="s">
        <v>496</v>
      </c>
      <c r="C579" s="21" t="s">
        <v>497</v>
      </c>
      <c r="D579" s="21">
        <v>2008</v>
      </c>
      <c r="E579" s="21" t="s">
        <v>983</v>
      </c>
      <c r="F579" s="21" t="s">
        <v>498</v>
      </c>
      <c r="G579" s="21" t="str">
        <f>HYPERLINK("http://dx.doi.org/10.5509/2008813339","http://dx.doi.org/10.5509/2008813339")</f>
        <v>http://dx.doi.org/10.5509/2008813339</v>
      </c>
      <c r="H579" s="21" t="s">
        <v>2826</v>
      </c>
      <c r="I579" s="21" t="s">
        <v>2836</v>
      </c>
      <c r="J579" s="21" t="s">
        <v>2830</v>
      </c>
      <c r="K579" s="20" t="s">
        <v>0</v>
      </c>
    </row>
    <row r="580" spans="1:11" x14ac:dyDescent="0.2">
      <c r="A580" s="30" t="s">
        <v>1569</v>
      </c>
      <c r="B580" s="21" t="s">
        <v>1715</v>
      </c>
      <c r="C580" s="21" t="s">
        <v>1600</v>
      </c>
      <c r="D580" s="21">
        <v>2019</v>
      </c>
      <c r="E580" s="21" t="s">
        <v>925</v>
      </c>
      <c r="F580" s="21" t="s">
        <v>167</v>
      </c>
      <c r="G580" s="21" t="str">
        <f>HYPERLINK("http://dx.doi.org/10.1016/j.apenergy.2019.03.019","http://dx.doi.org/10.1016/j.apenergy.2019.03.019")</f>
        <v>http://dx.doi.org/10.1016/j.apenergy.2019.03.019</v>
      </c>
      <c r="H580" s="21" t="s">
        <v>2826</v>
      </c>
      <c r="I580" s="21" t="s">
        <v>2832</v>
      </c>
      <c r="J580" s="21" t="s">
        <v>2847</v>
      </c>
      <c r="K580" s="20" t="s">
        <v>0</v>
      </c>
    </row>
    <row r="581" spans="1:11" x14ac:dyDescent="0.2">
      <c r="A581" s="30" t="s">
        <v>2821</v>
      </c>
      <c r="B581" s="21" t="s">
        <v>825</v>
      </c>
      <c r="C581" s="21" t="s">
        <v>826</v>
      </c>
      <c r="D581" s="21">
        <v>2006</v>
      </c>
      <c r="E581" s="21" t="s">
        <v>943</v>
      </c>
      <c r="F581" s="21" t="s">
        <v>827</v>
      </c>
      <c r="G581" s="21" t="str">
        <f>HYPERLINK("http://dx.doi.org/10.1017/S0033291706007082","http://dx.doi.org/10.1017/S0033291706007082")</f>
        <v>http://dx.doi.org/10.1017/S0033291706007082</v>
      </c>
      <c r="H581" s="21" t="s">
        <v>2826</v>
      </c>
      <c r="I581" s="21" t="s">
        <v>2836</v>
      </c>
      <c r="J581" s="21" t="s">
        <v>2830</v>
      </c>
      <c r="K581" s="20" t="s">
        <v>0</v>
      </c>
    </row>
    <row r="582" spans="1:11" x14ac:dyDescent="0.2">
      <c r="A582" s="30" t="s">
        <v>1569</v>
      </c>
      <c r="B582" s="21" t="s">
        <v>2079</v>
      </c>
      <c r="C582" s="21" t="s">
        <v>1449</v>
      </c>
      <c r="D582" s="21">
        <v>2011</v>
      </c>
      <c r="E582" s="21" t="s">
        <v>931</v>
      </c>
      <c r="F582" s="21" t="s">
        <v>2080</v>
      </c>
      <c r="G582" s="21" t="str">
        <f>HYPERLINK("http://dx.doi.org/10.1016/j.mineng.2010.10.002","http://dx.doi.org/10.1016/j.mineng.2010.10.002")</f>
        <v>http://dx.doi.org/10.1016/j.mineng.2010.10.002</v>
      </c>
      <c r="H582" s="21" t="s">
        <v>2826</v>
      </c>
      <c r="I582" s="21" t="s">
        <v>2835</v>
      </c>
      <c r="J582" s="21" t="s">
        <v>2218</v>
      </c>
      <c r="K582" s="20" t="s">
        <v>0</v>
      </c>
    </row>
    <row r="583" spans="1:11" x14ac:dyDescent="0.2">
      <c r="A583" s="30" t="s">
        <v>1569</v>
      </c>
      <c r="B583" s="21" t="s">
        <v>1993</v>
      </c>
      <c r="C583" s="21" t="s">
        <v>1450</v>
      </c>
      <c r="D583" s="21">
        <v>2015</v>
      </c>
      <c r="E583" s="21" t="s">
        <v>926</v>
      </c>
      <c r="F583" s="21" t="s">
        <v>209</v>
      </c>
      <c r="G583" s="21" t="str">
        <f>HYPERLINK("http://dx.doi.org/10.1007/s11367-014-0803-5","http://dx.doi.org/10.1007/s11367-014-0803-5")</f>
        <v>http://dx.doi.org/10.1007/s11367-014-0803-5</v>
      </c>
      <c r="H583" s="21" t="s">
        <v>2826</v>
      </c>
      <c r="I583" s="21" t="s">
        <v>2900</v>
      </c>
      <c r="J583" s="21" t="s">
        <v>2828</v>
      </c>
      <c r="K583" s="20" t="s">
        <v>0</v>
      </c>
    </row>
    <row r="584" spans="1:11" x14ac:dyDescent="0.2">
      <c r="A584" s="30" t="s">
        <v>2821</v>
      </c>
      <c r="B584" s="21" t="s">
        <v>2356</v>
      </c>
      <c r="C584" s="21" t="s">
        <v>2357</v>
      </c>
      <c r="D584" s="21">
        <v>2025</v>
      </c>
      <c r="E584" s="21" t="s">
        <v>928</v>
      </c>
      <c r="F584" s="21" t="s">
        <v>213</v>
      </c>
      <c r="G584" s="21" t="str">
        <f>HYPERLINK("http://dx.doi.org/10.1016/j.resconrec.2025.108277","http://dx.doi.org/10.1016/j.resconrec.2025.108277")</f>
        <v>http://dx.doi.org/10.1016/j.resconrec.2025.108277</v>
      </c>
      <c r="H584" s="21" t="s">
        <v>2825</v>
      </c>
      <c r="I584" s="21" t="s">
        <v>2835</v>
      </c>
      <c r="J584" s="21" t="s">
        <v>2218</v>
      </c>
      <c r="K584" s="20" t="s">
        <v>0</v>
      </c>
    </row>
    <row r="585" spans="1:11" x14ac:dyDescent="0.2">
      <c r="A585" s="30" t="s">
        <v>1569</v>
      </c>
      <c r="B585" s="21" t="s">
        <v>1798</v>
      </c>
      <c r="C585" s="21" t="s">
        <v>1626</v>
      </c>
      <c r="D585" s="21">
        <v>2018</v>
      </c>
      <c r="E585" s="21" t="s">
        <v>931</v>
      </c>
      <c r="F585" s="21" t="s">
        <v>147</v>
      </c>
      <c r="G585" s="21" t="str">
        <f>HYPERLINK("http://dx.doi.org/10.1016/j.trd.2018.01.018","http://dx.doi.org/10.1016/j.trd.2018.01.018")</f>
        <v>http://dx.doi.org/10.1016/j.trd.2018.01.018</v>
      </c>
      <c r="H585" s="21" t="s">
        <v>2826</v>
      </c>
      <c r="I585" s="21" t="s">
        <v>2835</v>
      </c>
      <c r="J585" s="21" t="s">
        <v>2839</v>
      </c>
      <c r="K585" s="20" t="s">
        <v>0</v>
      </c>
    </row>
    <row r="586" spans="1:11" x14ac:dyDescent="0.2">
      <c r="A586" s="30" t="s">
        <v>2821</v>
      </c>
      <c r="B586" s="21" t="s">
        <v>150</v>
      </c>
      <c r="C586" s="21" t="s">
        <v>151</v>
      </c>
      <c r="D586" s="21">
        <v>2016</v>
      </c>
      <c r="E586" s="21" t="s">
        <v>932</v>
      </c>
      <c r="F586" s="21" t="s">
        <v>152</v>
      </c>
      <c r="G586" s="21" t="s">
        <v>2262</v>
      </c>
      <c r="H586" s="21" t="s">
        <v>2826</v>
      </c>
      <c r="I586" s="21" t="s">
        <v>2835</v>
      </c>
      <c r="J586" s="21" t="s">
        <v>2839</v>
      </c>
      <c r="K586" s="20" t="s">
        <v>0</v>
      </c>
    </row>
    <row r="587" spans="1:11" x14ac:dyDescent="0.2">
      <c r="A587" s="30" t="s">
        <v>2821</v>
      </c>
      <c r="B587" s="21" t="s">
        <v>681</v>
      </c>
      <c r="C587" s="21" t="s">
        <v>682</v>
      </c>
      <c r="D587" s="21">
        <v>2018</v>
      </c>
      <c r="E587" s="21" t="s">
        <v>923</v>
      </c>
      <c r="F587" s="21" t="s">
        <v>683</v>
      </c>
      <c r="G587" s="21" t="str">
        <f>HYPERLINK("http://dx.doi.org/10.2903/j.efsa.2018.5377","http://dx.doi.org/10.2903/j.efsa.2018.5377")</f>
        <v>http://dx.doi.org/10.2903/j.efsa.2018.5377</v>
      </c>
      <c r="H587" s="21" t="s">
        <v>2826</v>
      </c>
      <c r="I587" s="21" t="s">
        <v>2836</v>
      </c>
      <c r="J587" s="21" t="s">
        <v>2830</v>
      </c>
      <c r="K587" s="20" t="s">
        <v>0</v>
      </c>
    </row>
    <row r="588" spans="1:11" x14ac:dyDescent="0.2">
      <c r="A588" s="30" t="s">
        <v>2821</v>
      </c>
      <c r="B588" s="21" t="s">
        <v>221</v>
      </c>
      <c r="C588" s="21" t="s">
        <v>118</v>
      </c>
      <c r="D588" s="21">
        <v>2024</v>
      </c>
      <c r="E588" s="21" t="s">
        <v>928</v>
      </c>
      <c r="F588" s="21" t="s">
        <v>213</v>
      </c>
      <c r="G588" s="21" t="str">
        <f>HYPERLINK("http://dx.doi.org/10.1016/j.resconrec.2023.107340","http://dx.doi.org/10.1016/j.resconrec.2023.107340")</f>
        <v>http://dx.doi.org/10.1016/j.resconrec.2023.107340</v>
      </c>
      <c r="H588" s="21" t="s">
        <v>2826</v>
      </c>
      <c r="I588" s="21" t="s">
        <v>2835</v>
      </c>
      <c r="J588" s="21" t="s">
        <v>2219</v>
      </c>
      <c r="K588" s="20" t="s">
        <v>0</v>
      </c>
    </row>
    <row r="589" spans="1:11" x14ac:dyDescent="0.2">
      <c r="A589" s="30" t="s">
        <v>1569</v>
      </c>
      <c r="B589" s="21" t="s">
        <v>2108</v>
      </c>
      <c r="C589" s="21" t="s">
        <v>1451</v>
      </c>
      <c r="D589" s="21">
        <v>2007</v>
      </c>
      <c r="E589" s="21" t="s">
        <v>925</v>
      </c>
      <c r="F589" s="21" t="s">
        <v>167</v>
      </c>
      <c r="G589" s="21" t="str">
        <f>HYPERLINK("http://dx.doi.org/10.1016/j.apenergy.2007.05.005","http://dx.doi.org/10.1016/j.apenergy.2007.05.005")</f>
        <v>http://dx.doi.org/10.1016/j.apenergy.2007.05.005</v>
      </c>
      <c r="H589" s="21" t="s">
        <v>2826</v>
      </c>
      <c r="I589" s="21" t="s">
        <v>2835</v>
      </c>
      <c r="J589" s="21" t="s">
        <v>2218</v>
      </c>
      <c r="K589" s="20" t="s">
        <v>0</v>
      </c>
    </row>
    <row r="590" spans="1:11" x14ac:dyDescent="0.2">
      <c r="A590" s="30" t="s">
        <v>1569</v>
      </c>
      <c r="B590" s="21" t="s">
        <v>1877</v>
      </c>
      <c r="C590" s="21" t="s">
        <v>1452</v>
      </c>
      <c r="D590" s="21">
        <v>2017</v>
      </c>
      <c r="E590" s="21" t="s">
        <v>1026</v>
      </c>
      <c r="F590" s="21" t="s">
        <v>1878</v>
      </c>
      <c r="G590" s="21" t="str">
        <f>HYPERLINK("http://dx.doi.org/10.1186/s13068-017-0733-0","http://dx.doi.org/10.1186/s13068-017-0733-0")</f>
        <v>http://dx.doi.org/10.1186/s13068-017-0733-0</v>
      </c>
      <c r="H590" s="21" t="s">
        <v>2826</v>
      </c>
      <c r="I590" s="21" t="s">
        <v>2835</v>
      </c>
      <c r="J590" s="21" t="s">
        <v>2218</v>
      </c>
      <c r="K590" s="20" t="s">
        <v>0</v>
      </c>
    </row>
    <row r="591" spans="1:11" x14ac:dyDescent="0.2">
      <c r="A591" s="30" t="s">
        <v>2821</v>
      </c>
      <c r="B591" s="21" t="s">
        <v>914</v>
      </c>
      <c r="C591" s="21" t="s">
        <v>915</v>
      </c>
      <c r="D591" s="21">
        <v>2020</v>
      </c>
      <c r="E591" s="21" t="s">
        <v>1040</v>
      </c>
      <c r="F591" s="21" t="s">
        <v>841</v>
      </c>
      <c r="G591" s="21" t="str">
        <f>HYPERLINK("http://dx.doi.org/10.1093/humrep/deaa071","http://dx.doi.org/10.1093/humrep/deaa071")</f>
        <v>http://dx.doi.org/10.1093/humrep/deaa071</v>
      </c>
      <c r="H591" s="21" t="s">
        <v>2826</v>
      </c>
      <c r="I591" s="21" t="s">
        <v>2836</v>
      </c>
      <c r="J591" s="21" t="s">
        <v>2830</v>
      </c>
      <c r="K591" s="20" t="s">
        <v>0</v>
      </c>
    </row>
    <row r="592" spans="1:11" x14ac:dyDescent="0.2">
      <c r="A592" s="30" t="s">
        <v>1569</v>
      </c>
      <c r="B592" s="21" t="s">
        <v>1872</v>
      </c>
      <c r="C592" s="21" t="s">
        <v>1634</v>
      </c>
      <c r="D592" s="21">
        <v>2017</v>
      </c>
      <c r="E592" s="21" t="s">
        <v>1873</v>
      </c>
      <c r="F592" s="21" t="s">
        <v>1874</v>
      </c>
      <c r="G592" s="21" t="str">
        <f>HYPERLINK("http://dx.doi.org/10.15171/EHEM.2017.17","http://dx.doi.org/10.15171/EHEM.2017.17")</f>
        <v>http://dx.doi.org/10.15171/EHEM.2017.17</v>
      </c>
      <c r="H592" s="21" t="s">
        <v>2826</v>
      </c>
      <c r="I592" s="21" t="s">
        <v>2835</v>
      </c>
      <c r="J592" s="21" t="s">
        <v>2214</v>
      </c>
      <c r="K592" s="20" t="s">
        <v>0</v>
      </c>
    </row>
    <row r="593" spans="1:11" x14ac:dyDescent="0.2">
      <c r="A593" s="30" t="s">
        <v>1569</v>
      </c>
      <c r="B593" s="21" t="s">
        <v>1219</v>
      </c>
      <c r="C593" s="21" t="s">
        <v>1453</v>
      </c>
      <c r="D593" s="21">
        <v>2015</v>
      </c>
      <c r="E593" s="21" t="s">
        <v>925</v>
      </c>
      <c r="F593" s="21" t="s">
        <v>167</v>
      </c>
      <c r="G593" s="21" t="str">
        <f>HYPERLINK("http://dx.doi.org/10.1016/j.apenergy.2015.04.001","http://dx.doi.org/10.1016/j.apenergy.2015.04.001")</f>
        <v>http://dx.doi.org/10.1016/j.apenergy.2015.04.001</v>
      </c>
      <c r="H593" s="21" t="s">
        <v>2826</v>
      </c>
      <c r="I593" s="21" t="s">
        <v>2835</v>
      </c>
      <c r="J593" s="21" t="s">
        <v>2218</v>
      </c>
      <c r="K593" s="20" t="s">
        <v>0</v>
      </c>
    </row>
    <row r="594" spans="1:11" x14ac:dyDescent="0.2">
      <c r="A594" s="30" t="s">
        <v>2821</v>
      </c>
      <c r="B594" s="21" t="s">
        <v>565</v>
      </c>
      <c r="C594" s="21" t="s">
        <v>566</v>
      </c>
      <c r="D594" s="21">
        <v>2024</v>
      </c>
      <c r="E594" s="21" t="s">
        <v>1012</v>
      </c>
      <c r="F594" s="21" t="s">
        <v>567</v>
      </c>
      <c r="G594" s="21" t="str">
        <f>HYPERLINK("http://dx.doi.org/10.33223/epj/188475","http://dx.doi.org/10.33223/epj/188475")</f>
        <v>http://dx.doi.org/10.33223/epj/188475</v>
      </c>
      <c r="H594" s="21" t="s">
        <v>2826</v>
      </c>
      <c r="I594" s="21" t="s">
        <v>2900</v>
      </c>
      <c r="J594" s="21" t="s">
        <v>2828</v>
      </c>
      <c r="K594" s="20" t="s">
        <v>0</v>
      </c>
    </row>
    <row r="595" spans="1:11" x14ac:dyDescent="0.2">
      <c r="A595" s="30" t="s">
        <v>1569</v>
      </c>
      <c r="B595" s="21" t="s">
        <v>1686</v>
      </c>
      <c r="C595" s="21" t="s">
        <v>1687</v>
      </c>
      <c r="D595" s="21">
        <v>2019</v>
      </c>
      <c r="E595" s="21" t="s">
        <v>931</v>
      </c>
      <c r="F595" s="21" t="s">
        <v>181</v>
      </c>
      <c r="G595" s="21" t="str">
        <f>HYPERLINK("http://dx.doi.org/10.1016/j.buildenv.2019.106391","http://dx.doi.org/10.1016/j.buildenv.2019.106391")</f>
        <v>http://dx.doi.org/10.1016/j.buildenv.2019.106391</v>
      </c>
      <c r="H595" s="21" t="s">
        <v>2826</v>
      </c>
      <c r="I595" s="21" t="s">
        <v>2835</v>
      </c>
      <c r="J595" s="21" t="s">
        <v>2214</v>
      </c>
      <c r="K595" s="20" t="s">
        <v>0</v>
      </c>
    </row>
    <row r="596" spans="1:11" x14ac:dyDescent="0.2">
      <c r="A596" s="30" t="s">
        <v>2821</v>
      </c>
      <c r="B596" s="21" t="s">
        <v>540</v>
      </c>
      <c r="C596" s="21" t="s">
        <v>541</v>
      </c>
      <c r="D596" s="21">
        <v>1999</v>
      </c>
      <c r="E596" s="21" t="s">
        <v>987</v>
      </c>
      <c r="F596" s="21" t="s">
        <v>542</v>
      </c>
      <c r="G596" s="21" t="str">
        <f>HYPERLINK("http://dx.doi.org/10.1061/(ASCE)0742-597X(1999)15:4(71)","http://dx.doi.org/10.1061/(ASCE)0742-597X(1999)15:4(71)")</f>
        <v>http://dx.doi.org/10.1061/(ASCE)0742-597X(1999)15:4(71)</v>
      </c>
      <c r="H596" s="21" t="s">
        <v>2826</v>
      </c>
      <c r="I596" s="21" t="s">
        <v>2836</v>
      </c>
      <c r="J596" s="21" t="s">
        <v>2830</v>
      </c>
      <c r="K596" s="20" t="s">
        <v>0</v>
      </c>
    </row>
    <row r="597" spans="1:11" x14ac:dyDescent="0.2">
      <c r="A597" s="30" t="s">
        <v>1569</v>
      </c>
      <c r="B597" s="21" t="s">
        <v>1268</v>
      </c>
      <c r="C597" s="21" t="s">
        <v>1269</v>
      </c>
      <c r="D597" s="21">
        <v>2016</v>
      </c>
      <c r="E597" s="21" t="s">
        <v>931</v>
      </c>
      <c r="F597" s="21" t="s">
        <v>306</v>
      </c>
      <c r="G597" s="21" t="str">
        <f>HYPERLINK("http://dx.doi.org/10.1016/j.rser.2016.04.005","http://dx.doi.org/10.1016/j.rser.2016.04.005")</f>
        <v>http://dx.doi.org/10.1016/j.rser.2016.04.005</v>
      </c>
      <c r="H597" s="21" t="s">
        <v>2825</v>
      </c>
      <c r="I597" s="21" t="s">
        <v>2833</v>
      </c>
      <c r="J597" s="21" t="s">
        <v>2827</v>
      </c>
      <c r="K597" s="20" t="s">
        <v>0</v>
      </c>
    </row>
    <row r="598" spans="1:11" x14ac:dyDescent="0.2">
      <c r="A598" s="30" t="s">
        <v>1569</v>
      </c>
      <c r="B598" s="21" t="s">
        <v>1796</v>
      </c>
      <c r="C598" s="21" t="s">
        <v>1454</v>
      </c>
      <c r="D598" s="21">
        <v>2018</v>
      </c>
      <c r="E598" s="21" t="s">
        <v>923</v>
      </c>
      <c r="F598" s="21" t="s">
        <v>1114</v>
      </c>
      <c r="G598" s="21" t="str">
        <f>HYPERLINK("http://dx.doi.org/10.1111/gcbb.12484","http://dx.doi.org/10.1111/gcbb.12484")</f>
        <v>http://dx.doi.org/10.1111/gcbb.12484</v>
      </c>
      <c r="H598" s="21" t="s">
        <v>2826</v>
      </c>
      <c r="I598" s="21" t="s">
        <v>2832</v>
      </c>
      <c r="J598" s="21" t="s">
        <v>2847</v>
      </c>
      <c r="K598" s="20" t="s">
        <v>0</v>
      </c>
    </row>
    <row r="599" spans="1:11" x14ac:dyDescent="0.2">
      <c r="A599" s="30" t="s">
        <v>2821</v>
      </c>
      <c r="B599" s="21" t="s">
        <v>957</v>
      </c>
      <c r="C599" s="21" t="s">
        <v>958</v>
      </c>
      <c r="D599" s="21">
        <v>2023</v>
      </c>
      <c r="E599" s="21" t="s">
        <v>929</v>
      </c>
      <c r="F599" s="21" t="s">
        <v>959</v>
      </c>
      <c r="G599" s="21" t="str">
        <f>HYPERLINK("http://dx.doi.org/10.1007/s10924-023-02792-3","http://dx.doi.org/10.1007/s10924-023-02792-3")</f>
        <v>http://dx.doi.org/10.1007/s10924-023-02792-3</v>
      </c>
      <c r="H599" s="21" t="s">
        <v>2826</v>
      </c>
      <c r="I599" s="21" t="s">
        <v>2835</v>
      </c>
      <c r="J599" s="21" t="s">
        <v>2218</v>
      </c>
      <c r="K599" s="20" t="s">
        <v>0</v>
      </c>
    </row>
    <row r="600" spans="1:11" x14ac:dyDescent="0.2">
      <c r="A600" s="30" t="s">
        <v>2821</v>
      </c>
      <c r="B600" s="21" t="s">
        <v>2374</v>
      </c>
      <c r="C600" s="21" t="s">
        <v>2368</v>
      </c>
      <c r="D600" s="21">
        <v>2025</v>
      </c>
      <c r="E600" s="21" t="s">
        <v>928</v>
      </c>
      <c r="F600" s="21" t="s">
        <v>173</v>
      </c>
      <c r="G600" s="21" t="str">
        <f>HYPERLINK("http://dx.doi.org/10.1016/j.spc.2025.05.005","http://dx.doi.org/10.1016/j.spc.2025.05.005")</f>
        <v>http://dx.doi.org/10.1016/j.spc.2025.05.005</v>
      </c>
      <c r="H600" s="21" t="s">
        <v>2826</v>
      </c>
      <c r="I600" s="21" t="s">
        <v>2835</v>
      </c>
      <c r="J600" s="21" t="s">
        <v>2214</v>
      </c>
      <c r="K600" s="20" t="s">
        <v>0</v>
      </c>
    </row>
    <row r="601" spans="1:11" x14ac:dyDescent="0.2">
      <c r="A601" s="30" t="s">
        <v>2821</v>
      </c>
      <c r="B601" s="21" t="s">
        <v>208</v>
      </c>
      <c r="C601" s="21" t="s">
        <v>15</v>
      </c>
      <c r="D601" s="21">
        <v>2024</v>
      </c>
      <c r="E601" s="21" t="s">
        <v>926</v>
      </c>
      <c r="F601" s="21" t="s">
        <v>209</v>
      </c>
      <c r="G601" s="21" t="str">
        <f>HYPERLINK("http://dx.doi.org/10.1007/s11367-024-02320-y","http://dx.doi.org/10.1007/s11367-024-02320-y")</f>
        <v>http://dx.doi.org/10.1007/s11367-024-02320-y</v>
      </c>
      <c r="H601" s="21" t="s">
        <v>2826</v>
      </c>
      <c r="I601" s="21" t="s">
        <v>2835</v>
      </c>
      <c r="J601" s="21" t="s">
        <v>2214</v>
      </c>
      <c r="K601" s="20" t="s">
        <v>0</v>
      </c>
    </row>
    <row r="602" spans="1:11" x14ac:dyDescent="0.2">
      <c r="A602" s="30" t="s">
        <v>2821</v>
      </c>
      <c r="B602" s="21" t="s">
        <v>1127</v>
      </c>
      <c r="C602" s="21" t="s">
        <v>1080</v>
      </c>
      <c r="D602" s="21">
        <v>2019</v>
      </c>
      <c r="E602" s="21" t="s">
        <v>928</v>
      </c>
      <c r="F602" s="21" t="s">
        <v>197</v>
      </c>
      <c r="G602" s="21" t="str">
        <f>HYPERLINK("http://dx.doi.org/10.1016/j.scitotenv.2018.10.019","http://dx.doi.org/10.1016/j.scitotenv.2018.10.019")</f>
        <v>http://dx.doi.org/10.1016/j.scitotenv.2018.10.019</v>
      </c>
      <c r="H602" s="21" t="s">
        <v>2826</v>
      </c>
      <c r="I602" s="21" t="s">
        <v>2900</v>
      </c>
      <c r="J602" s="21" t="s">
        <v>2828</v>
      </c>
      <c r="K602" s="20" t="s">
        <v>0</v>
      </c>
    </row>
    <row r="603" spans="1:11" x14ac:dyDescent="0.2">
      <c r="A603" s="30" t="s">
        <v>1569</v>
      </c>
      <c r="B603" s="21" t="s">
        <v>1774</v>
      </c>
      <c r="C603" s="21" t="s">
        <v>1455</v>
      </c>
      <c r="D603" s="21">
        <v>2018</v>
      </c>
      <c r="E603" s="21" t="s">
        <v>1775</v>
      </c>
      <c r="F603" s="21" t="s">
        <v>1776</v>
      </c>
      <c r="G603" s="21" t="str">
        <f>HYPERLINK("http://dx.doi.org/10.1007/s12205-017-0029-8","http://dx.doi.org/10.1007/s12205-017-0029-8")</f>
        <v>http://dx.doi.org/10.1007/s12205-017-0029-8</v>
      </c>
      <c r="H603" s="21" t="s">
        <v>2826</v>
      </c>
      <c r="I603" s="21" t="s">
        <v>2835</v>
      </c>
      <c r="J603" s="21" t="s">
        <v>2839</v>
      </c>
      <c r="K603" s="20" t="s">
        <v>0</v>
      </c>
    </row>
    <row r="604" spans="1:11" x14ac:dyDescent="0.2">
      <c r="A604" s="30" t="s">
        <v>1569</v>
      </c>
      <c r="B604" s="21" t="s">
        <v>1728</v>
      </c>
      <c r="C604" s="21" t="s">
        <v>1611</v>
      </c>
      <c r="D604" s="21">
        <v>2019</v>
      </c>
      <c r="E604" s="21" t="s">
        <v>928</v>
      </c>
      <c r="F604" s="21" t="s">
        <v>1729</v>
      </c>
      <c r="G604" s="21" t="str">
        <f>HYPERLINK("http://dx.doi.org/10.1016/j.mtsust.2019.01.001","http://dx.doi.org/10.1016/j.mtsust.2019.01.001")</f>
        <v>http://dx.doi.org/10.1016/j.mtsust.2019.01.001</v>
      </c>
      <c r="H604" s="21" t="s">
        <v>2826</v>
      </c>
      <c r="I604" s="21" t="s">
        <v>2835</v>
      </c>
      <c r="J604" s="21" t="s">
        <v>2218</v>
      </c>
      <c r="K604" s="20" t="s">
        <v>0</v>
      </c>
    </row>
    <row r="605" spans="1:11" x14ac:dyDescent="0.2">
      <c r="A605" s="30" t="s">
        <v>1569</v>
      </c>
      <c r="B605" s="21" t="s">
        <v>2066</v>
      </c>
      <c r="C605" s="21" t="s">
        <v>1456</v>
      </c>
      <c r="D605" s="21">
        <v>2012</v>
      </c>
      <c r="E605" s="21" t="s">
        <v>925</v>
      </c>
      <c r="F605" s="21" t="s">
        <v>144</v>
      </c>
      <c r="G605" s="21" t="str">
        <f>HYPERLINK("http://dx.doi.org/10.1016/j.jclepro.2011.10.028","http://dx.doi.org/10.1016/j.jclepro.2011.10.028")</f>
        <v>http://dx.doi.org/10.1016/j.jclepro.2011.10.028</v>
      </c>
      <c r="H605" s="21" t="s">
        <v>2826</v>
      </c>
      <c r="I605" s="21" t="s">
        <v>2835</v>
      </c>
      <c r="J605" s="21" t="s">
        <v>2218</v>
      </c>
      <c r="K605" s="20" t="s">
        <v>0</v>
      </c>
    </row>
    <row r="606" spans="1:11" x14ac:dyDescent="0.2">
      <c r="A606" s="30" t="s">
        <v>1569</v>
      </c>
      <c r="B606" s="21" t="s">
        <v>2038</v>
      </c>
      <c r="C606" s="21" t="s">
        <v>1457</v>
      </c>
      <c r="D606" s="21">
        <v>2013</v>
      </c>
      <c r="E606" s="21" t="s">
        <v>950</v>
      </c>
      <c r="F606" s="21" t="s">
        <v>534</v>
      </c>
      <c r="G606" s="21" t="str">
        <f>HYPERLINK("http://dx.doi.org/10.1016/j.jenvman.2013.06.055","http://dx.doi.org/10.1016/j.jenvman.2013.06.055")</f>
        <v>http://dx.doi.org/10.1016/j.jenvman.2013.06.055</v>
      </c>
      <c r="H606" s="21" t="s">
        <v>2826</v>
      </c>
      <c r="I606" s="21" t="s">
        <v>2835</v>
      </c>
      <c r="J606" s="21" t="s">
        <v>2218</v>
      </c>
      <c r="K606" s="20" t="s">
        <v>0</v>
      </c>
    </row>
    <row r="607" spans="1:11" x14ac:dyDescent="0.2">
      <c r="A607" s="30" t="s">
        <v>1569</v>
      </c>
      <c r="B607" s="21" t="s">
        <v>1924</v>
      </c>
      <c r="C607" s="21" t="s">
        <v>1458</v>
      </c>
      <c r="D607" s="21">
        <v>2016</v>
      </c>
      <c r="E607" s="21" t="s">
        <v>934</v>
      </c>
      <c r="F607" s="21" t="s">
        <v>304</v>
      </c>
      <c r="G607" s="21" t="str">
        <f>HYPERLINK("http://dx.doi.org/10.1016/j.enbuild.2016.04.008","http://dx.doi.org/10.1016/j.enbuild.2016.04.008")</f>
        <v>http://dx.doi.org/10.1016/j.enbuild.2016.04.008</v>
      </c>
      <c r="H607" s="21" t="s">
        <v>2826</v>
      </c>
      <c r="I607" s="21" t="s">
        <v>2835</v>
      </c>
      <c r="J607" s="21" t="s">
        <v>2215</v>
      </c>
      <c r="K607" s="20" t="s">
        <v>0</v>
      </c>
    </row>
    <row r="608" spans="1:11" x14ac:dyDescent="0.2">
      <c r="A608" s="30" t="s">
        <v>1569</v>
      </c>
      <c r="B608" s="21" t="s">
        <v>2041</v>
      </c>
      <c r="C608" s="21" t="s">
        <v>1652</v>
      </c>
      <c r="D608" s="21">
        <v>2013</v>
      </c>
      <c r="E608" s="21" t="s">
        <v>942</v>
      </c>
      <c r="F608" s="21" t="s">
        <v>279</v>
      </c>
      <c r="G608" s="21" t="str">
        <f>HYPERLINK("http://dx.doi.org/10.1002/cssc.201300168","http://dx.doi.org/10.1002/cssc.201300168")</f>
        <v>http://dx.doi.org/10.1002/cssc.201300168</v>
      </c>
      <c r="H608" s="21" t="s">
        <v>2826</v>
      </c>
      <c r="I608" s="21" t="s">
        <v>2835</v>
      </c>
      <c r="J608" s="21" t="s">
        <v>2218</v>
      </c>
      <c r="K608" s="20" t="s">
        <v>0</v>
      </c>
    </row>
    <row r="609" spans="1:11" x14ac:dyDescent="0.2">
      <c r="A609" s="30" t="s">
        <v>2821</v>
      </c>
      <c r="B609" s="21" t="s">
        <v>256</v>
      </c>
      <c r="C609" s="21" t="s">
        <v>257</v>
      </c>
      <c r="D609" s="21">
        <v>2023</v>
      </c>
      <c r="E609" s="21" t="s">
        <v>41</v>
      </c>
      <c r="F609" s="21" t="s">
        <v>54</v>
      </c>
      <c r="G609" s="21" t="str">
        <f>HYPERLINK("http://dx.doi.org/10.3390/su15010656","http://dx.doi.org/10.3390/su15010656")</f>
        <v>http://dx.doi.org/10.3390/su15010656</v>
      </c>
      <c r="H609" s="21" t="s">
        <v>2826</v>
      </c>
      <c r="I609" s="21" t="s">
        <v>2900</v>
      </c>
      <c r="J609" s="21" t="s">
        <v>2828</v>
      </c>
      <c r="K609" s="20" t="s">
        <v>0</v>
      </c>
    </row>
    <row r="610" spans="1:11" x14ac:dyDescent="0.2">
      <c r="A610" s="30" t="s">
        <v>1569</v>
      </c>
      <c r="B610" s="21" t="s">
        <v>1891</v>
      </c>
      <c r="C610" s="21" t="s">
        <v>59</v>
      </c>
      <c r="D610" s="21">
        <v>2017</v>
      </c>
      <c r="E610" s="21" t="s">
        <v>933</v>
      </c>
      <c r="F610" s="21" t="s">
        <v>1198</v>
      </c>
      <c r="G610" s="21" t="str">
        <f>HYPERLINK("http://dx.doi.org/10.1038/NCLIMATE3148","http://dx.doi.org/10.1038/NCLIMATE3148")</f>
        <v>http://dx.doi.org/10.1038/NCLIMATE3148</v>
      </c>
      <c r="H610" s="21" t="s">
        <v>2826</v>
      </c>
      <c r="I610" s="21" t="s">
        <v>2900</v>
      </c>
      <c r="J610" s="21" t="s">
        <v>2828</v>
      </c>
      <c r="K610" s="20" t="s">
        <v>0</v>
      </c>
    </row>
    <row r="611" spans="1:11" x14ac:dyDescent="0.2">
      <c r="A611" s="30" t="s">
        <v>2822</v>
      </c>
      <c r="B611" s="21" t="s">
        <v>1243</v>
      </c>
      <c r="C611" s="21" t="s">
        <v>121</v>
      </c>
      <c r="D611" s="21">
        <v>2024</v>
      </c>
      <c r="E611" s="21" t="s">
        <v>923</v>
      </c>
      <c r="F611" s="21" t="s">
        <v>127</v>
      </c>
      <c r="G611" s="21" t="s">
        <v>60</v>
      </c>
      <c r="H611" s="21" t="s">
        <v>1230</v>
      </c>
      <c r="I611" s="21" t="s">
        <v>2262</v>
      </c>
      <c r="J611" s="21" t="s">
        <v>2262</v>
      </c>
      <c r="K611" s="20" t="s">
        <v>0</v>
      </c>
    </row>
    <row r="612" spans="1:11" x14ac:dyDescent="0.2">
      <c r="A612" s="30" t="s">
        <v>1569</v>
      </c>
      <c r="B612" s="21" t="s">
        <v>2176</v>
      </c>
      <c r="C612" s="21" t="s">
        <v>2168</v>
      </c>
      <c r="D612" s="21">
        <v>2018</v>
      </c>
      <c r="E612" s="21" t="s">
        <v>2177</v>
      </c>
      <c r="F612" s="21" t="s">
        <v>2155</v>
      </c>
      <c r="G612" s="21" t="s">
        <v>2169</v>
      </c>
      <c r="H612" s="21" t="s">
        <v>2826</v>
      </c>
      <c r="I612" s="21" t="s">
        <v>2835</v>
      </c>
      <c r="J612" s="21" t="s">
        <v>2214</v>
      </c>
      <c r="K612" s="20" t="s">
        <v>0</v>
      </c>
    </row>
    <row r="613" spans="1:11" x14ac:dyDescent="0.2">
      <c r="A613" s="30" t="s">
        <v>2820</v>
      </c>
      <c r="B613" s="21" t="s">
        <v>2259</v>
      </c>
      <c r="C613" s="21" t="s">
        <v>2260</v>
      </c>
      <c r="D613" s="21">
        <v>2021</v>
      </c>
      <c r="E613" s="21" t="s">
        <v>925</v>
      </c>
      <c r="F613" s="21" t="s">
        <v>1207</v>
      </c>
      <c r="G613" s="21" t="str">
        <f>HYPERLINK("http://dx.doi.org/10.1016/j.gloenvcha.2021.102316","http://dx.doi.org/10.1016/j.gloenvcha.2021.102316")</f>
        <v>http://dx.doi.org/10.1016/j.gloenvcha.2021.102316</v>
      </c>
      <c r="H613" s="21" t="s">
        <v>1230</v>
      </c>
      <c r="I613" s="21" t="s">
        <v>2262</v>
      </c>
      <c r="J613" s="21" t="s">
        <v>2262</v>
      </c>
      <c r="K613" s="20" t="s">
        <v>0</v>
      </c>
    </row>
    <row r="614" spans="1:11" x14ac:dyDescent="0.2">
      <c r="A614" s="30" t="s">
        <v>2821</v>
      </c>
      <c r="B614" s="21" t="s">
        <v>651</v>
      </c>
      <c r="C614" s="21" t="s">
        <v>652</v>
      </c>
      <c r="D614" s="21">
        <v>2023</v>
      </c>
      <c r="E614" s="21" t="s">
        <v>923</v>
      </c>
      <c r="F614" s="21" t="s">
        <v>127</v>
      </c>
      <c r="G614" s="21" t="str">
        <f>HYPERLINK("http://dx.doi.org/10.1111/jiec.13388","http://dx.doi.org/10.1111/jiec.13388")</f>
        <v>http://dx.doi.org/10.1111/jiec.13388</v>
      </c>
      <c r="H614" s="21" t="s">
        <v>1230</v>
      </c>
      <c r="I614" s="21" t="s">
        <v>2262</v>
      </c>
      <c r="J614" s="21" t="s">
        <v>2262</v>
      </c>
      <c r="K614" s="20" t="s">
        <v>0</v>
      </c>
    </row>
    <row r="615" spans="1:11" x14ac:dyDescent="0.2">
      <c r="A615" s="30" t="s">
        <v>2822</v>
      </c>
      <c r="B615" s="21" t="s">
        <v>163</v>
      </c>
      <c r="C615" s="21" t="s">
        <v>34</v>
      </c>
      <c r="D615" s="21">
        <v>2017</v>
      </c>
      <c r="E615" s="21" t="s">
        <v>933</v>
      </c>
      <c r="F615" s="21" t="s">
        <v>164</v>
      </c>
      <c r="G615" s="21" t="str">
        <f>HYPERLINK("http://dx.doi.org/10.1038/s41560-017-0032-9","http://dx.doi.org/10.1038/s41560-017-0032-9")</f>
        <v>http://dx.doi.org/10.1038/s41560-017-0032-9</v>
      </c>
      <c r="H615" s="21" t="s">
        <v>1230</v>
      </c>
      <c r="I615" s="21" t="s">
        <v>2262</v>
      </c>
      <c r="J615" s="21" t="s">
        <v>2262</v>
      </c>
      <c r="K615" s="20" t="s">
        <v>0</v>
      </c>
    </row>
    <row r="616" spans="1:11" x14ac:dyDescent="0.2">
      <c r="A616" s="30" t="s">
        <v>1569</v>
      </c>
      <c r="B616" s="21" t="s">
        <v>2119</v>
      </c>
      <c r="C616" s="21" t="s">
        <v>1459</v>
      </c>
      <c r="D616" s="21">
        <v>2003</v>
      </c>
      <c r="E616" s="21" t="s">
        <v>926</v>
      </c>
      <c r="F616" s="21" t="s">
        <v>209</v>
      </c>
      <c r="G616" s="21" t="str">
        <f>HYPERLINK("http://dx.doi.org/10.1007/BF02978920","http://dx.doi.org/10.1007/BF02978920")</f>
        <v>http://dx.doi.org/10.1007/BF02978920</v>
      </c>
      <c r="H616" s="21" t="s">
        <v>2826</v>
      </c>
      <c r="I616" s="21" t="s">
        <v>2835</v>
      </c>
      <c r="J616" s="21" t="s">
        <v>2218</v>
      </c>
      <c r="K616" s="20" t="s">
        <v>0</v>
      </c>
    </row>
    <row r="617" spans="1:11" x14ac:dyDescent="0.2">
      <c r="A617" s="30" t="s">
        <v>1569</v>
      </c>
      <c r="B617" s="21" t="s">
        <v>2119</v>
      </c>
      <c r="C617" s="21" t="s">
        <v>1460</v>
      </c>
      <c r="D617" s="21">
        <v>2006</v>
      </c>
      <c r="E617" s="21" t="s">
        <v>931</v>
      </c>
      <c r="F617" s="21" t="s">
        <v>314</v>
      </c>
      <c r="G617" s="21" t="str">
        <f>HYPERLINK("http://dx.doi.org/10.1016/j.renene.2005.03.002","http://dx.doi.org/10.1016/j.renene.2005.03.002")</f>
        <v>http://dx.doi.org/10.1016/j.renene.2005.03.002</v>
      </c>
      <c r="H617" s="21" t="s">
        <v>2826</v>
      </c>
      <c r="I617" s="21" t="s">
        <v>2835</v>
      </c>
      <c r="J617" s="21" t="s">
        <v>2218</v>
      </c>
      <c r="K617" s="20" t="s">
        <v>0</v>
      </c>
    </row>
    <row r="618" spans="1:11" x14ac:dyDescent="0.2">
      <c r="A618" s="30" t="s">
        <v>2821</v>
      </c>
      <c r="B618" s="21" t="s">
        <v>158</v>
      </c>
      <c r="C618" s="21" t="s">
        <v>159</v>
      </c>
      <c r="D618" s="21">
        <v>2022</v>
      </c>
      <c r="E618" s="21" t="s">
        <v>928</v>
      </c>
      <c r="F618" s="21" t="s">
        <v>133</v>
      </c>
      <c r="G618" s="21" t="str">
        <f>HYPERLINK("http://dx.doi.org/10.1016/j.jobe.2022.104461","http://dx.doi.org/10.1016/j.jobe.2022.104461")</f>
        <v>http://dx.doi.org/10.1016/j.jobe.2022.104461</v>
      </c>
      <c r="H618" s="21" t="s">
        <v>2826</v>
      </c>
      <c r="I618" s="21" t="s">
        <v>2835</v>
      </c>
      <c r="J618" s="21" t="s">
        <v>2218</v>
      </c>
      <c r="K618" s="20" t="s">
        <v>0</v>
      </c>
    </row>
    <row r="619" spans="1:11" x14ac:dyDescent="0.2">
      <c r="A619" s="30" t="s">
        <v>2821</v>
      </c>
      <c r="B619" s="21" t="s">
        <v>231</v>
      </c>
      <c r="C619" s="21" t="s">
        <v>232</v>
      </c>
      <c r="D619" s="21">
        <v>2007</v>
      </c>
      <c r="E619" s="21" t="s">
        <v>944</v>
      </c>
      <c r="F619" s="21" t="s">
        <v>209</v>
      </c>
      <c r="G619" s="21" t="str">
        <f>HYPERLINK("http://dx.doi.org/10.1065/lca2007.05.333","http://dx.doi.org/10.1065/lca2007.05.333")</f>
        <v>http://dx.doi.org/10.1065/lca2007.05.333</v>
      </c>
      <c r="H619" s="21" t="s">
        <v>2826</v>
      </c>
      <c r="I619" s="21" t="s">
        <v>2833</v>
      </c>
      <c r="J619" s="21" t="s">
        <v>2827</v>
      </c>
      <c r="K619" s="20" t="s">
        <v>0</v>
      </c>
    </row>
    <row r="620" spans="1:11" x14ac:dyDescent="0.2">
      <c r="A620" s="30" t="s">
        <v>1569</v>
      </c>
      <c r="B620" s="21" t="s">
        <v>1730</v>
      </c>
      <c r="C620" s="21" t="s">
        <v>1612</v>
      </c>
      <c r="D620" s="21">
        <v>2019</v>
      </c>
      <c r="E620" s="21" t="s">
        <v>928</v>
      </c>
      <c r="F620" s="21" t="s">
        <v>213</v>
      </c>
      <c r="G620" s="21" t="str">
        <f>HYPERLINK("http://dx.doi.org/10.1016/j.resconrec.2018.11.022","http://dx.doi.org/10.1016/j.resconrec.2018.11.022")</f>
        <v>http://dx.doi.org/10.1016/j.resconrec.2018.11.022</v>
      </c>
      <c r="H620" s="21" t="s">
        <v>2826</v>
      </c>
      <c r="I620" s="21" t="s">
        <v>2835</v>
      </c>
      <c r="J620" s="21" t="s">
        <v>2219</v>
      </c>
      <c r="K620" s="20" t="s">
        <v>0</v>
      </c>
    </row>
    <row r="621" spans="1:11" x14ac:dyDescent="0.2">
      <c r="A621" s="30" t="s">
        <v>1569</v>
      </c>
      <c r="B621" s="21" t="s">
        <v>1778</v>
      </c>
      <c r="C621" s="21" t="s">
        <v>1461</v>
      </c>
      <c r="D621" s="21">
        <v>2018</v>
      </c>
      <c r="E621" s="21" t="s">
        <v>925</v>
      </c>
      <c r="F621" s="21" t="s">
        <v>144</v>
      </c>
      <c r="G621" s="21" t="str">
        <f>HYPERLINK("http://dx.doi.org/10.1016/j.jclepro.2018.03.285","http://dx.doi.org/10.1016/j.jclepro.2018.03.285")</f>
        <v>http://dx.doi.org/10.1016/j.jclepro.2018.03.285</v>
      </c>
      <c r="H621" s="21" t="s">
        <v>1230</v>
      </c>
      <c r="I621" s="21" t="s">
        <v>2262</v>
      </c>
      <c r="J621" s="21" t="s">
        <v>2262</v>
      </c>
      <c r="K621" s="20" t="s">
        <v>0</v>
      </c>
    </row>
    <row r="622" spans="1:11" x14ac:dyDescent="0.2">
      <c r="A622" s="30" t="s">
        <v>2821</v>
      </c>
      <c r="B622" s="21" t="s">
        <v>176</v>
      </c>
      <c r="C622" s="21" t="s">
        <v>177</v>
      </c>
      <c r="D622" s="21">
        <v>2016</v>
      </c>
      <c r="E622" s="21" t="s">
        <v>925</v>
      </c>
      <c r="F622" s="21" t="s">
        <v>178</v>
      </c>
      <c r="G622" s="21" t="str">
        <f>HYPERLINK("http://dx.doi.org/10.1016/j.conbuildmat.2016.08.041","http://dx.doi.org/10.1016/j.conbuildmat.2016.08.041")</f>
        <v>http://dx.doi.org/10.1016/j.conbuildmat.2016.08.041</v>
      </c>
      <c r="H622" s="21" t="s">
        <v>2826</v>
      </c>
      <c r="I622" s="21" t="s">
        <v>2835</v>
      </c>
      <c r="J622" s="21" t="s">
        <v>2218</v>
      </c>
      <c r="K622" s="20" t="s">
        <v>0</v>
      </c>
    </row>
    <row r="623" spans="1:11" x14ac:dyDescent="0.2">
      <c r="A623" s="30" t="s">
        <v>2821</v>
      </c>
      <c r="B623" s="21" t="s">
        <v>842</v>
      </c>
      <c r="C623" s="21" t="s">
        <v>35</v>
      </c>
      <c r="D623" s="21">
        <v>2019</v>
      </c>
      <c r="E623" s="21" t="s">
        <v>44</v>
      </c>
      <c r="F623" s="21" t="s">
        <v>843</v>
      </c>
      <c r="G623" s="21" t="str">
        <f>HYPERLINK("http://dx.doi.org/10.1115/1.4041950","http://dx.doi.org/10.1115/1.4041950")</f>
        <v>http://dx.doi.org/10.1115/1.4041950</v>
      </c>
      <c r="H623" s="21" t="s">
        <v>2826</v>
      </c>
      <c r="I623" s="21" t="s">
        <v>2835</v>
      </c>
      <c r="J623" s="21" t="s">
        <v>2218</v>
      </c>
      <c r="K623" s="20" t="s">
        <v>0</v>
      </c>
    </row>
    <row r="624" spans="1:11" x14ac:dyDescent="0.2">
      <c r="A624" s="30" t="s">
        <v>2821</v>
      </c>
      <c r="B624" s="21" t="s">
        <v>186</v>
      </c>
      <c r="C624" s="21" t="s">
        <v>187</v>
      </c>
      <c r="D624" s="21">
        <v>2024</v>
      </c>
      <c r="E624" s="21" t="s">
        <v>929</v>
      </c>
      <c r="F624" s="21" t="s">
        <v>188</v>
      </c>
      <c r="G624" s="21" t="str">
        <f>HYPERLINK("http://dx.doi.org/10.1007/s10450-024-00485-4","http://dx.doi.org/10.1007/s10450-024-00485-4")</f>
        <v>http://dx.doi.org/10.1007/s10450-024-00485-4</v>
      </c>
      <c r="H624" s="21" t="s">
        <v>2826</v>
      </c>
      <c r="I624" s="21" t="s">
        <v>2835</v>
      </c>
      <c r="J624" s="21" t="s">
        <v>2218</v>
      </c>
      <c r="K624" s="20" t="s">
        <v>0</v>
      </c>
    </row>
    <row r="625" spans="1:11" x14ac:dyDescent="0.2">
      <c r="A625" s="30" t="s">
        <v>1569</v>
      </c>
      <c r="B625" s="21" t="s">
        <v>1854</v>
      </c>
      <c r="C625" s="21" t="s">
        <v>1462</v>
      </c>
      <c r="D625" s="21">
        <v>2017</v>
      </c>
      <c r="E625" s="21" t="s">
        <v>923</v>
      </c>
      <c r="F625" s="21" t="s">
        <v>255</v>
      </c>
      <c r="G625" s="21" t="str">
        <f>HYPERLINK("http://dx.doi.org/10.1002/pip.2841","http://dx.doi.org/10.1002/pip.2841")</f>
        <v>http://dx.doi.org/10.1002/pip.2841</v>
      </c>
      <c r="H625" s="21" t="s">
        <v>2826</v>
      </c>
      <c r="I625" s="21" t="s">
        <v>2835</v>
      </c>
      <c r="J625" s="21" t="s">
        <v>2218</v>
      </c>
      <c r="K625" s="20" t="s">
        <v>0</v>
      </c>
    </row>
    <row r="626" spans="1:11" x14ac:dyDescent="0.2">
      <c r="A626" s="30" t="s">
        <v>1569</v>
      </c>
      <c r="B626" s="21" t="s">
        <v>2185</v>
      </c>
      <c r="C626" s="21" t="s">
        <v>2143</v>
      </c>
      <c r="D626" s="21">
        <v>2017</v>
      </c>
      <c r="E626" s="21" t="s">
        <v>928</v>
      </c>
      <c r="F626" s="21" t="s">
        <v>2186</v>
      </c>
      <c r="G626" s="21" t="s">
        <v>2142</v>
      </c>
      <c r="H626" s="21" t="s">
        <v>2826</v>
      </c>
      <c r="I626" s="21" t="s">
        <v>2835</v>
      </c>
      <c r="J626" s="21" t="s">
        <v>2218</v>
      </c>
      <c r="K626" s="20" t="s">
        <v>0</v>
      </c>
    </row>
    <row r="627" spans="1:11" x14ac:dyDescent="0.2">
      <c r="A627" s="30" t="s">
        <v>2821</v>
      </c>
      <c r="B627" s="21" t="s">
        <v>432</v>
      </c>
      <c r="C627" s="21" t="s">
        <v>433</v>
      </c>
      <c r="D627" s="21">
        <v>2016</v>
      </c>
      <c r="E627" s="21" t="s">
        <v>930</v>
      </c>
      <c r="F627" s="21" t="s">
        <v>220</v>
      </c>
      <c r="G627" s="21" t="str">
        <f>HYPERLINK("http://dx.doi.org/10.1039/c6ee00640j","http://dx.doi.org/10.1039/c6ee00640j")</f>
        <v>http://dx.doi.org/10.1039/c6ee00640j</v>
      </c>
      <c r="H627" s="21" t="s">
        <v>2826</v>
      </c>
      <c r="I627" s="21" t="s">
        <v>2835</v>
      </c>
      <c r="J627" s="21" t="s">
        <v>2218</v>
      </c>
      <c r="K627" s="20" t="s">
        <v>0</v>
      </c>
    </row>
    <row r="628" spans="1:11" x14ac:dyDescent="0.2">
      <c r="A628" s="30" t="s">
        <v>1569</v>
      </c>
      <c r="B628" s="21" t="s">
        <v>2016</v>
      </c>
      <c r="C628" s="21" t="s">
        <v>1649</v>
      </c>
      <c r="D628" s="21">
        <v>2014</v>
      </c>
      <c r="E628" s="21" t="s">
        <v>931</v>
      </c>
      <c r="F628" s="21" t="s">
        <v>228</v>
      </c>
      <c r="G628" s="21" t="str">
        <f>HYPERLINK("http://dx.doi.org/10.1016/j.biombioe.2014.04.018","http://dx.doi.org/10.1016/j.biombioe.2014.04.018")</f>
        <v>http://dx.doi.org/10.1016/j.biombioe.2014.04.018</v>
      </c>
      <c r="H628" s="21" t="s">
        <v>2825</v>
      </c>
      <c r="I628" s="21" t="s">
        <v>2209</v>
      </c>
      <c r="J628" s="21" t="s">
        <v>2871</v>
      </c>
      <c r="K628" s="20" t="s">
        <v>0</v>
      </c>
    </row>
    <row r="629" spans="1:11" x14ac:dyDescent="0.2">
      <c r="A629" s="30" t="s">
        <v>2821</v>
      </c>
      <c r="B629" s="21" t="s">
        <v>861</v>
      </c>
      <c r="C629" s="21" t="s">
        <v>862</v>
      </c>
      <c r="D629" s="21">
        <v>2018</v>
      </c>
      <c r="E629" s="21" t="s">
        <v>925</v>
      </c>
      <c r="F629" s="21" t="s">
        <v>144</v>
      </c>
      <c r="G629" s="21" t="str">
        <f>HYPERLINK("http://dx.doi.org/10.1016/j.jclepro.2017.10.226","http://dx.doi.org/10.1016/j.jclepro.2017.10.226")</f>
        <v>http://dx.doi.org/10.1016/j.jclepro.2017.10.226</v>
      </c>
      <c r="H629" s="21" t="s">
        <v>2826</v>
      </c>
      <c r="I629" s="21" t="s">
        <v>2835</v>
      </c>
      <c r="J629" s="21" t="s">
        <v>2218</v>
      </c>
      <c r="K629" s="20" t="s">
        <v>0</v>
      </c>
    </row>
    <row r="630" spans="1:11" x14ac:dyDescent="0.2">
      <c r="A630" s="30" t="s">
        <v>1569</v>
      </c>
      <c r="B630" s="21" t="s">
        <v>861</v>
      </c>
      <c r="C630" s="21" t="s">
        <v>39</v>
      </c>
      <c r="D630" s="21">
        <v>2016</v>
      </c>
      <c r="E630" s="21" t="s">
        <v>925</v>
      </c>
      <c r="F630" s="21" t="s">
        <v>144</v>
      </c>
      <c r="G630" s="21" t="str">
        <f>HYPERLINK("http://dx.doi.org/10.1016/j.jclepro.2016.06.164","http://dx.doi.org/10.1016/j.jclepro.2016.06.164")</f>
        <v>http://dx.doi.org/10.1016/j.jclepro.2016.06.164</v>
      </c>
      <c r="H630" s="21" t="s">
        <v>2826</v>
      </c>
      <c r="I630" s="21" t="s">
        <v>2835</v>
      </c>
      <c r="J630" s="21" t="s">
        <v>2218</v>
      </c>
      <c r="K630" s="20" t="s">
        <v>0</v>
      </c>
    </row>
    <row r="631" spans="1:11" x14ac:dyDescent="0.2">
      <c r="A631" s="30" t="s">
        <v>2821</v>
      </c>
      <c r="B631" s="21" t="s">
        <v>884</v>
      </c>
      <c r="C631" s="21" t="s">
        <v>885</v>
      </c>
      <c r="D631" s="21">
        <v>2012</v>
      </c>
      <c r="E631" s="21" t="s">
        <v>931</v>
      </c>
      <c r="F631" s="21" t="s">
        <v>43</v>
      </c>
      <c r="G631" s="21" t="str">
        <f>HYPERLINK("http://dx.doi.org/10.1016/j.energy.2012.04.057","http://dx.doi.org/10.1016/j.energy.2012.04.057")</f>
        <v>http://dx.doi.org/10.1016/j.energy.2012.04.057</v>
      </c>
      <c r="H631" s="21" t="s">
        <v>2826</v>
      </c>
      <c r="I631" s="21" t="s">
        <v>2833</v>
      </c>
      <c r="J631" s="21" t="s">
        <v>2827</v>
      </c>
      <c r="K631" s="20" t="s">
        <v>0</v>
      </c>
    </row>
    <row r="632" spans="1:11" x14ac:dyDescent="0.2">
      <c r="A632" s="30" t="s">
        <v>1569</v>
      </c>
      <c r="B632" s="21" t="s">
        <v>2083</v>
      </c>
      <c r="C632" s="21" t="s">
        <v>1464</v>
      </c>
      <c r="D632" s="21">
        <v>2011</v>
      </c>
      <c r="E632" s="21" t="s">
        <v>926</v>
      </c>
      <c r="F632" s="21" t="s">
        <v>209</v>
      </c>
      <c r="G632" s="21" t="str">
        <f>HYPERLINK("http://dx.doi.org/10.1007/s11367-011-0269-7","http://dx.doi.org/10.1007/s11367-011-0269-7")</f>
        <v>http://dx.doi.org/10.1007/s11367-011-0269-7</v>
      </c>
      <c r="H632" s="21" t="s">
        <v>2826</v>
      </c>
      <c r="I632" s="21" t="s">
        <v>2832</v>
      </c>
      <c r="J632" s="21" t="s">
        <v>2847</v>
      </c>
      <c r="K632" s="20" t="s">
        <v>0</v>
      </c>
    </row>
    <row r="633" spans="1:11" x14ac:dyDescent="0.2">
      <c r="A633" s="30" t="s">
        <v>2821</v>
      </c>
      <c r="B633" s="21" t="s">
        <v>2249</v>
      </c>
      <c r="C633" s="21" t="s">
        <v>2250</v>
      </c>
      <c r="D633" s="21">
        <v>2025</v>
      </c>
      <c r="E633" s="21" t="s">
        <v>928</v>
      </c>
      <c r="F633" s="21" t="s">
        <v>2251</v>
      </c>
      <c r="G633" s="21" t="str">
        <f>HYPERLINK("http://dx.doi.org/10.1016/j.nexus.2024.100338","http://dx.doi.org/10.1016/j.nexus.2024.100338")</f>
        <v>http://dx.doi.org/10.1016/j.nexus.2024.100338</v>
      </c>
      <c r="H633" s="21" t="s">
        <v>2826</v>
      </c>
      <c r="I633" s="21" t="s">
        <v>2900</v>
      </c>
      <c r="J633" s="21" t="s">
        <v>2828</v>
      </c>
      <c r="K633" s="20" t="s">
        <v>0</v>
      </c>
    </row>
    <row r="634" spans="1:11" x14ac:dyDescent="0.2">
      <c r="A634" s="30" t="s">
        <v>2821</v>
      </c>
      <c r="B634" s="21" t="s">
        <v>507</v>
      </c>
      <c r="C634" s="21" t="s">
        <v>508</v>
      </c>
      <c r="D634" s="21">
        <v>2018</v>
      </c>
      <c r="E634" s="21" t="s">
        <v>931</v>
      </c>
      <c r="F634" s="21" t="s">
        <v>329</v>
      </c>
      <c r="G634" s="21" t="str">
        <f>HYPERLINK("http://dx.doi.org/10.1016/j.wasman.2018.07.006","http://dx.doi.org/10.1016/j.wasman.2018.07.006")</f>
        <v>http://dx.doi.org/10.1016/j.wasman.2018.07.006</v>
      </c>
      <c r="H634" s="21" t="s">
        <v>1230</v>
      </c>
      <c r="I634" s="21" t="s">
        <v>2262</v>
      </c>
      <c r="J634" s="21" t="s">
        <v>2262</v>
      </c>
      <c r="K634" s="20" t="s">
        <v>0</v>
      </c>
    </row>
    <row r="635" spans="1:11" x14ac:dyDescent="0.2">
      <c r="A635" s="30" t="s">
        <v>2821</v>
      </c>
      <c r="B635" s="21" t="s">
        <v>367</v>
      </c>
      <c r="C635" s="21" t="s">
        <v>368</v>
      </c>
      <c r="D635" s="21">
        <v>2019</v>
      </c>
      <c r="E635" s="21" t="s">
        <v>925</v>
      </c>
      <c r="F635" s="21" t="s">
        <v>144</v>
      </c>
      <c r="G635" s="21" t="str">
        <f>HYPERLINK("http://dx.doi.org/10.1016/j.jclepro.2019.04.088","http://dx.doi.org/10.1016/j.jclepro.2019.04.088")</f>
        <v>http://dx.doi.org/10.1016/j.jclepro.2019.04.088</v>
      </c>
      <c r="H635" s="21" t="s">
        <v>2825</v>
      </c>
      <c r="I635" s="21" t="s">
        <v>2832</v>
      </c>
      <c r="J635" s="21" t="s">
        <v>2884</v>
      </c>
      <c r="K635" s="20" t="s">
        <v>0</v>
      </c>
    </row>
    <row r="636" spans="1:11" x14ac:dyDescent="0.2">
      <c r="A636" s="30" t="s">
        <v>2821</v>
      </c>
      <c r="B636" s="21" t="s">
        <v>358</v>
      </c>
      <c r="C636" s="21" t="s">
        <v>359</v>
      </c>
      <c r="D636" s="21">
        <v>2023</v>
      </c>
      <c r="E636" s="21" t="s">
        <v>931</v>
      </c>
      <c r="F636" s="21" t="s">
        <v>306</v>
      </c>
      <c r="G636" s="21" t="str">
        <f>HYPERLINK("http://dx.doi.org/10.1016/j.rser.2023.113172","http://dx.doi.org/10.1016/j.rser.2023.113172")</f>
        <v>http://dx.doi.org/10.1016/j.rser.2023.113172</v>
      </c>
      <c r="H636" s="21" t="s">
        <v>2825</v>
      </c>
      <c r="I636" s="21" t="s">
        <v>2836</v>
      </c>
      <c r="J636" s="21" t="s">
        <v>2837</v>
      </c>
      <c r="K636" s="20" t="s">
        <v>0</v>
      </c>
    </row>
    <row r="637" spans="1:11" x14ac:dyDescent="0.2">
      <c r="A637" s="30" t="s">
        <v>2821</v>
      </c>
      <c r="B637" s="21" t="s">
        <v>557</v>
      </c>
      <c r="C637" s="21" t="s">
        <v>558</v>
      </c>
      <c r="D637" s="21">
        <v>2022</v>
      </c>
      <c r="E637" s="21" t="s">
        <v>1013</v>
      </c>
      <c r="F637" s="21" t="s">
        <v>559</v>
      </c>
      <c r="G637" s="21" t="str">
        <f>HYPERLINK("http://dx.doi.org/10.1002/wene.421","http://dx.doi.org/10.1002/wene.421")</f>
        <v>http://dx.doi.org/10.1002/wene.421</v>
      </c>
      <c r="H637" s="21" t="s">
        <v>2826</v>
      </c>
      <c r="I637" s="21" t="s">
        <v>2900</v>
      </c>
      <c r="J637" s="21" t="s">
        <v>2828</v>
      </c>
      <c r="K637" s="20" t="s">
        <v>0</v>
      </c>
    </row>
    <row r="638" spans="1:11" x14ac:dyDescent="0.2">
      <c r="A638" s="30" t="s">
        <v>2821</v>
      </c>
      <c r="B638" s="21" t="s">
        <v>2342</v>
      </c>
      <c r="C638" s="21" t="s">
        <v>2346</v>
      </c>
      <c r="D638" s="21">
        <v>2025</v>
      </c>
      <c r="E638" s="21" t="s">
        <v>956</v>
      </c>
      <c r="F638" s="21" t="s">
        <v>2350</v>
      </c>
      <c r="G638" s="21" t="str">
        <f>HYPERLINK("http://dx.doi.org/10.1007/s43979-025-00123-0","http://dx.doi.org/10.1007/s43979-025-00123-0")</f>
        <v>http://dx.doi.org/10.1007/s43979-025-00123-0</v>
      </c>
      <c r="H638" s="21" t="s">
        <v>2826</v>
      </c>
      <c r="I638" s="21" t="s">
        <v>2835</v>
      </c>
      <c r="J638" s="21" t="s">
        <v>2218</v>
      </c>
      <c r="K638" s="20" t="s">
        <v>0</v>
      </c>
    </row>
    <row r="639" spans="1:11" x14ac:dyDescent="0.2">
      <c r="A639" s="30" t="s">
        <v>2821</v>
      </c>
      <c r="B639" s="21" t="s">
        <v>1014</v>
      </c>
      <c r="C639" s="21" t="s">
        <v>1015</v>
      </c>
      <c r="D639" s="21">
        <v>2016</v>
      </c>
      <c r="E639" s="21" t="s">
        <v>924</v>
      </c>
      <c r="F639" s="21" t="s">
        <v>357</v>
      </c>
      <c r="G639" s="21" t="str">
        <f>HYPERLINK("http://dx.doi.org/10.1021/acs.est.6b02848","http://dx.doi.org/10.1021/acs.est.6b02848")</f>
        <v>http://dx.doi.org/10.1021/acs.est.6b02848</v>
      </c>
      <c r="H639" s="21" t="s">
        <v>2826</v>
      </c>
      <c r="I639" s="21" t="s">
        <v>2836</v>
      </c>
      <c r="J639" s="21" t="s">
        <v>2830</v>
      </c>
      <c r="K639" s="20" t="s">
        <v>0</v>
      </c>
    </row>
    <row r="640" spans="1:11" x14ac:dyDescent="0.2">
      <c r="A640" s="30" t="s">
        <v>1569</v>
      </c>
      <c r="B640" s="21" t="s">
        <v>1950</v>
      </c>
      <c r="C640" s="21" t="s">
        <v>1466</v>
      </c>
      <c r="D640" s="21">
        <v>2016</v>
      </c>
      <c r="E640" s="21" t="s">
        <v>1951</v>
      </c>
      <c r="F640" s="21" t="s">
        <v>1952</v>
      </c>
      <c r="G640" s="21" t="str">
        <f>HYPERLINK("http://dx.doi.org/10.1186/s13021-016-0063-8","http://dx.doi.org/10.1186/s13021-016-0063-8")</f>
        <v>http://dx.doi.org/10.1186/s13021-016-0063-8</v>
      </c>
      <c r="H640" s="21" t="s">
        <v>2825</v>
      </c>
      <c r="I640" s="21" t="s">
        <v>2832</v>
      </c>
      <c r="J640" s="21" t="s">
        <v>2888</v>
      </c>
      <c r="K640" s="20" t="s">
        <v>0</v>
      </c>
    </row>
    <row r="641" spans="1:11" x14ac:dyDescent="0.2">
      <c r="A641" s="30" t="s">
        <v>2821</v>
      </c>
      <c r="B641" s="21" t="s">
        <v>1181</v>
      </c>
      <c r="C641" s="21" t="s">
        <v>1182</v>
      </c>
      <c r="D641" s="21">
        <v>2015</v>
      </c>
      <c r="E641" s="21" t="s">
        <v>1183</v>
      </c>
      <c r="F641" s="21" t="s">
        <v>1184</v>
      </c>
      <c r="G641" s="21" t="s">
        <v>2262</v>
      </c>
      <c r="H641" s="21" t="s">
        <v>2826</v>
      </c>
      <c r="I641" s="21" t="s">
        <v>2836</v>
      </c>
      <c r="J641" s="21" t="s">
        <v>2830</v>
      </c>
      <c r="K641" s="20" t="s">
        <v>0</v>
      </c>
    </row>
    <row r="642" spans="1:11" x14ac:dyDescent="0.2">
      <c r="A642" s="30" t="s">
        <v>2821</v>
      </c>
      <c r="B642" s="21" t="s">
        <v>2330</v>
      </c>
      <c r="C642" s="21" t="s">
        <v>2334</v>
      </c>
      <c r="D642" s="21">
        <v>2025</v>
      </c>
      <c r="E642" s="21" t="s">
        <v>925</v>
      </c>
      <c r="F642" s="21" t="s">
        <v>144</v>
      </c>
      <c r="G642" s="21" t="str">
        <f>HYPERLINK("http://dx.doi.org/10.1016/j.jclepro.2025.145208","http://dx.doi.org/10.1016/j.jclepro.2025.145208")</f>
        <v>http://dx.doi.org/10.1016/j.jclepro.2025.145208</v>
      </c>
      <c r="H642" s="21" t="s">
        <v>2826</v>
      </c>
      <c r="I642" s="21" t="s">
        <v>2835</v>
      </c>
      <c r="J642" s="21" t="s">
        <v>2218</v>
      </c>
      <c r="K642" s="20" t="s">
        <v>0</v>
      </c>
    </row>
    <row r="643" spans="1:11" x14ac:dyDescent="0.2">
      <c r="A643" s="30" t="s">
        <v>2821</v>
      </c>
      <c r="B643" s="21" t="s">
        <v>450</v>
      </c>
      <c r="C643" s="21" t="s">
        <v>106</v>
      </c>
      <c r="D643" s="21">
        <v>2022</v>
      </c>
      <c r="E643" s="21" t="s">
        <v>933</v>
      </c>
      <c r="F643" s="21" t="s">
        <v>451</v>
      </c>
      <c r="G643" s="21" t="str">
        <f>HYPERLINK("http://dx.doi.org/10.1038/s41467-022-31146-1","http://dx.doi.org/10.1038/s41467-022-31146-1")</f>
        <v>http://dx.doi.org/10.1038/s41467-022-31146-1</v>
      </c>
      <c r="H643" s="21" t="s">
        <v>2825</v>
      </c>
      <c r="I643" s="21" t="s">
        <v>2835</v>
      </c>
      <c r="J643" s="21" t="s">
        <v>2301</v>
      </c>
      <c r="K643" s="20" t="s">
        <v>0</v>
      </c>
    </row>
    <row r="644" spans="1:11" x14ac:dyDescent="0.2">
      <c r="A644" s="30" t="s">
        <v>2821</v>
      </c>
      <c r="B644" s="21" t="s">
        <v>387</v>
      </c>
      <c r="C644" s="21" t="s">
        <v>388</v>
      </c>
      <c r="D644" s="21">
        <v>2021</v>
      </c>
      <c r="E644" s="21" t="s">
        <v>954</v>
      </c>
      <c r="F644" s="21" t="s">
        <v>389</v>
      </c>
      <c r="G644" s="21" t="str">
        <f>HYPERLINK("http://dx.doi.org/10.3389/fbuil.2021.743948","http://dx.doi.org/10.3389/fbuil.2021.743948")</f>
        <v>http://dx.doi.org/10.3389/fbuil.2021.743948</v>
      </c>
      <c r="H644" s="21" t="s">
        <v>2826</v>
      </c>
      <c r="I644" s="21" t="s">
        <v>2835</v>
      </c>
      <c r="J644" s="21" t="s">
        <v>2218</v>
      </c>
      <c r="K644" s="20" t="s">
        <v>0</v>
      </c>
    </row>
    <row r="645" spans="1:11" x14ac:dyDescent="0.2">
      <c r="A645" s="30" t="s">
        <v>2821</v>
      </c>
      <c r="B645" s="21" t="s">
        <v>694</v>
      </c>
      <c r="C645" s="21" t="s">
        <v>695</v>
      </c>
      <c r="D645" s="21">
        <v>2019</v>
      </c>
      <c r="E645" s="21" t="s">
        <v>1037</v>
      </c>
      <c r="F645" s="21" t="s">
        <v>696</v>
      </c>
      <c r="G645" s="21" t="s">
        <v>2262</v>
      </c>
      <c r="H645" s="21" t="s">
        <v>2826</v>
      </c>
      <c r="I645" s="21" t="s">
        <v>2836</v>
      </c>
      <c r="J645" s="21" t="s">
        <v>2830</v>
      </c>
      <c r="K645" s="20" t="s">
        <v>0</v>
      </c>
    </row>
    <row r="646" spans="1:11" x14ac:dyDescent="0.2">
      <c r="A646" s="30" t="s">
        <v>2821</v>
      </c>
      <c r="B646" s="21" t="s">
        <v>807</v>
      </c>
      <c r="C646" s="21" t="s">
        <v>808</v>
      </c>
      <c r="D646" s="21">
        <v>2021</v>
      </c>
      <c r="E646" s="21" t="s">
        <v>931</v>
      </c>
      <c r="F646" s="21" t="s">
        <v>809</v>
      </c>
      <c r="G646" s="21" t="str">
        <f>HYPERLINK("http://dx.doi.org/10.1016/j.tra.2021.07.011","http://dx.doi.org/10.1016/j.tra.2021.07.011")</f>
        <v>http://dx.doi.org/10.1016/j.tra.2021.07.011</v>
      </c>
      <c r="H646" s="21" t="s">
        <v>2826</v>
      </c>
      <c r="I646" s="21" t="s">
        <v>2836</v>
      </c>
      <c r="J646" s="21" t="s">
        <v>2830</v>
      </c>
      <c r="K646" s="20" t="s">
        <v>0</v>
      </c>
    </row>
    <row r="647" spans="1:11" x14ac:dyDescent="0.2">
      <c r="A647" s="30" t="s">
        <v>2821</v>
      </c>
      <c r="B647" s="21" t="s">
        <v>989</v>
      </c>
      <c r="C647" s="21" t="s">
        <v>990</v>
      </c>
      <c r="D647" s="21">
        <v>2023</v>
      </c>
      <c r="E647" s="21" t="s">
        <v>928</v>
      </c>
      <c r="F647" s="21" t="s">
        <v>213</v>
      </c>
      <c r="G647" s="21" t="str">
        <f>HYPERLINK("http://dx.doi.org/10.1016/j.resconrec.2022.106777","http://dx.doi.org/10.1016/j.resconrec.2022.106777")</f>
        <v>http://dx.doi.org/10.1016/j.resconrec.2022.106777</v>
      </c>
      <c r="H647" s="21" t="s">
        <v>2826</v>
      </c>
      <c r="I647" s="21" t="s">
        <v>2833</v>
      </c>
      <c r="J647" s="21" t="s">
        <v>2827</v>
      </c>
      <c r="K647" s="20" t="s">
        <v>0</v>
      </c>
    </row>
    <row r="648" spans="1:11" x14ac:dyDescent="0.2">
      <c r="A648" s="30" t="s">
        <v>1569</v>
      </c>
      <c r="B648" s="21" t="s">
        <v>1264</v>
      </c>
      <c r="C648" s="21" t="s">
        <v>1265</v>
      </c>
      <c r="D648" s="21">
        <v>2015</v>
      </c>
      <c r="E648" s="21" t="s">
        <v>931</v>
      </c>
      <c r="F648" s="21" t="s">
        <v>306</v>
      </c>
      <c r="G648" s="21" t="str">
        <f>HYPERLINK("http://dx.doi.org/10.1016/j.rser.2015.06.037","http://dx.doi.org/10.1016/j.rser.2015.06.037")</f>
        <v>http://dx.doi.org/10.1016/j.rser.2015.06.037</v>
      </c>
      <c r="H648" s="21" t="s">
        <v>2826</v>
      </c>
      <c r="I648" s="21" t="s">
        <v>2835</v>
      </c>
      <c r="J648" s="21" t="s">
        <v>2214</v>
      </c>
      <c r="K648" s="20" t="s">
        <v>0</v>
      </c>
    </row>
    <row r="649" spans="1:11" x14ac:dyDescent="0.2">
      <c r="A649" s="30" t="s">
        <v>1569</v>
      </c>
      <c r="B649" s="21" t="s">
        <v>2124</v>
      </c>
      <c r="C649" s="21" t="s">
        <v>1667</v>
      </c>
      <c r="D649" s="21">
        <v>2005</v>
      </c>
      <c r="E649" s="21" t="s">
        <v>926</v>
      </c>
      <c r="F649" s="21" t="s">
        <v>209</v>
      </c>
      <c r="G649" s="21" t="str">
        <f>HYPERLINK("http://dx.doi.org/10.1065/lca2004.09.179.2","http://dx.doi.org/10.1065/lca2004.09.179.2")</f>
        <v>http://dx.doi.org/10.1065/lca2004.09.179.2</v>
      </c>
      <c r="H649" s="21" t="s">
        <v>2826</v>
      </c>
      <c r="I649" s="21" t="s">
        <v>2835</v>
      </c>
      <c r="J649" s="21" t="s">
        <v>2839</v>
      </c>
      <c r="K649" s="20" t="s">
        <v>0</v>
      </c>
    </row>
    <row r="650" spans="1:11" x14ac:dyDescent="0.2">
      <c r="A650" s="30" t="s">
        <v>2821</v>
      </c>
      <c r="B650" s="21" t="s">
        <v>951</v>
      </c>
      <c r="C650" s="21" t="s">
        <v>952</v>
      </c>
      <c r="D650" s="21">
        <v>2015</v>
      </c>
      <c r="E650" s="21" t="s">
        <v>925</v>
      </c>
      <c r="F650" s="21" t="s">
        <v>272</v>
      </c>
      <c r="G650" s="21" t="str">
        <f>HYPERLINK("http://dx.doi.org/10.1016/j.biortech.2015.02.096","http://dx.doi.org/10.1016/j.biortech.2015.02.096")</f>
        <v>http://dx.doi.org/10.1016/j.biortech.2015.02.096</v>
      </c>
      <c r="H650" s="21" t="s">
        <v>2826</v>
      </c>
      <c r="I650" s="21" t="s">
        <v>2835</v>
      </c>
      <c r="J650" s="21" t="s">
        <v>2218</v>
      </c>
      <c r="K650" s="20" t="s">
        <v>0</v>
      </c>
    </row>
    <row r="651" spans="1:11" x14ac:dyDescent="0.2">
      <c r="A651" s="30" t="s">
        <v>1569</v>
      </c>
      <c r="B651" s="21" t="s">
        <v>2182</v>
      </c>
      <c r="C651" s="21" t="s">
        <v>1467</v>
      </c>
      <c r="D651" s="21">
        <v>2005</v>
      </c>
      <c r="E651" s="21" t="s">
        <v>2175</v>
      </c>
      <c r="F651" s="21" t="s">
        <v>2178</v>
      </c>
      <c r="G651" s="21" t="s">
        <v>2172</v>
      </c>
      <c r="H651" s="21" t="s">
        <v>2826</v>
      </c>
      <c r="I651" s="21" t="s">
        <v>2900</v>
      </c>
      <c r="J651" s="21" t="s">
        <v>2828</v>
      </c>
      <c r="K651" s="20" t="s">
        <v>0</v>
      </c>
    </row>
    <row r="652" spans="1:11" x14ac:dyDescent="0.2">
      <c r="A652" s="30" t="s">
        <v>1569</v>
      </c>
      <c r="B652" s="21" t="s">
        <v>2099</v>
      </c>
      <c r="C652" s="21" t="s">
        <v>1468</v>
      </c>
      <c r="D652" s="21">
        <v>2009</v>
      </c>
      <c r="E652" s="21" t="s">
        <v>931</v>
      </c>
      <c r="F652" s="21" t="s">
        <v>43</v>
      </c>
      <c r="G652" s="21" t="str">
        <f>HYPERLINK("http://dx.doi.org/10.1016/j.energy.2009.01.001","http://dx.doi.org/10.1016/j.energy.2009.01.001")</f>
        <v>http://dx.doi.org/10.1016/j.energy.2009.01.001</v>
      </c>
      <c r="H652" s="21" t="s">
        <v>2826</v>
      </c>
      <c r="I652" s="21" t="s">
        <v>2900</v>
      </c>
      <c r="J652" s="21" t="s">
        <v>2828</v>
      </c>
      <c r="K652" s="20" t="s">
        <v>0</v>
      </c>
    </row>
    <row r="653" spans="1:11" x14ac:dyDescent="0.2">
      <c r="A653" s="30" t="s">
        <v>2821</v>
      </c>
      <c r="B653" s="21" t="s">
        <v>315</v>
      </c>
      <c r="C653" s="21" t="s">
        <v>316</v>
      </c>
      <c r="D653" s="21">
        <v>2018</v>
      </c>
      <c r="E653" s="21" t="s">
        <v>925</v>
      </c>
      <c r="F653" s="21" t="s">
        <v>144</v>
      </c>
      <c r="G653" s="21" t="str">
        <f>HYPERLINK("http://dx.doi.org/10.1016/j.jclepro.2018.08.107","http://dx.doi.org/10.1016/j.jclepro.2018.08.107")</f>
        <v>http://dx.doi.org/10.1016/j.jclepro.2018.08.107</v>
      </c>
      <c r="H653" s="21" t="s">
        <v>2826</v>
      </c>
      <c r="I653" s="21" t="s">
        <v>2833</v>
      </c>
      <c r="J653" s="21" t="s">
        <v>2827</v>
      </c>
      <c r="K653" s="20" t="s">
        <v>0</v>
      </c>
    </row>
    <row r="654" spans="1:11" x14ac:dyDescent="0.2">
      <c r="A654" s="30" t="s">
        <v>2821</v>
      </c>
      <c r="B654" s="21" t="s">
        <v>286</v>
      </c>
      <c r="C654" s="21" t="s">
        <v>109</v>
      </c>
      <c r="D654" s="21">
        <v>2020</v>
      </c>
      <c r="E654" s="21" t="s">
        <v>41</v>
      </c>
      <c r="F654" s="21" t="s">
        <v>90</v>
      </c>
      <c r="G654" s="21" t="str">
        <f>HYPERLINK("http://dx.doi.org/10.3390/en13092207","http://dx.doi.org/10.3390/en13092207")</f>
        <v>http://dx.doi.org/10.3390/en13092207</v>
      </c>
      <c r="H654" s="21" t="s">
        <v>2825</v>
      </c>
      <c r="I654" s="21" t="s">
        <v>2832</v>
      </c>
      <c r="J654" s="21" t="s">
        <v>2261</v>
      </c>
      <c r="K654" s="20" t="s">
        <v>0</v>
      </c>
    </row>
    <row r="655" spans="1:11" x14ac:dyDescent="0.2">
      <c r="A655" s="30" t="s">
        <v>2821</v>
      </c>
      <c r="B655" s="21" t="s">
        <v>286</v>
      </c>
      <c r="C655" s="21" t="s">
        <v>334</v>
      </c>
      <c r="D655" s="21">
        <v>2021</v>
      </c>
      <c r="E655" s="21" t="s">
        <v>928</v>
      </c>
      <c r="F655" s="21" t="s">
        <v>213</v>
      </c>
      <c r="G655" s="21" t="str">
        <f>HYPERLINK("http://dx.doi.org/10.1016/j.resconrec.2021.105818","http://dx.doi.org/10.1016/j.resconrec.2021.105818")</f>
        <v>http://dx.doi.org/10.1016/j.resconrec.2021.105818</v>
      </c>
      <c r="H655" s="21" t="s">
        <v>1230</v>
      </c>
      <c r="I655" s="21" t="s">
        <v>2262</v>
      </c>
      <c r="J655" s="21" t="s">
        <v>2262</v>
      </c>
      <c r="K655" s="20" t="s">
        <v>0</v>
      </c>
    </row>
    <row r="656" spans="1:11" x14ac:dyDescent="0.2">
      <c r="A656" s="30" t="s">
        <v>2821</v>
      </c>
      <c r="B656" s="21" t="s">
        <v>478</v>
      </c>
      <c r="C656" s="21" t="s">
        <v>479</v>
      </c>
      <c r="D656" s="21">
        <v>2018</v>
      </c>
      <c r="E656" s="21" t="s">
        <v>925</v>
      </c>
      <c r="F656" s="21" t="s">
        <v>56</v>
      </c>
      <c r="G656" s="21" t="str">
        <f>HYPERLINK("http://dx.doi.org/10.1016/j.enpol.2017.11.062","http://dx.doi.org/10.1016/j.enpol.2017.11.062")</f>
        <v>http://dx.doi.org/10.1016/j.enpol.2017.11.062</v>
      </c>
      <c r="H656" s="21" t="s">
        <v>2825</v>
      </c>
      <c r="I656" s="21" t="s">
        <v>2832</v>
      </c>
      <c r="J656" s="21" t="s">
        <v>2230</v>
      </c>
      <c r="K656" s="20" t="s">
        <v>0</v>
      </c>
    </row>
    <row r="657" spans="1:11" x14ac:dyDescent="0.2">
      <c r="A657" s="30" t="s">
        <v>2821</v>
      </c>
      <c r="B657" s="21" t="s">
        <v>415</v>
      </c>
      <c r="C657" s="21" t="s">
        <v>416</v>
      </c>
      <c r="D657" s="21">
        <v>2019</v>
      </c>
      <c r="E657" s="21" t="s">
        <v>925</v>
      </c>
      <c r="F657" s="21" t="s">
        <v>144</v>
      </c>
      <c r="G657" s="21" t="str">
        <f>HYPERLINK("http://dx.doi.org/10.1016/j.jclepro.2018.12.237","http://dx.doi.org/10.1016/j.jclepro.2018.12.237")</f>
        <v>http://dx.doi.org/10.1016/j.jclepro.2018.12.237</v>
      </c>
      <c r="H657" s="21" t="s">
        <v>2826</v>
      </c>
      <c r="I657" s="21" t="s">
        <v>2835</v>
      </c>
      <c r="J657" s="21" t="s">
        <v>2218</v>
      </c>
      <c r="K657" s="20" t="s">
        <v>0</v>
      </c>
    </row>
    <row r="658" spans="1:11" x14ac:dyDescent="0.2">
      <c r="A658" s="30" t="s">
        <v>1569</v>
      </c>
      <c r="B658" s="21" t="s">
        <v>1217</v>
      </c>
      <c r="C658" s="21" t="s">
        <v>113</v>
      </c>
      <c r="D658" s="21">
        <v>2017</v>
      </c>
      <c r="E658" s="21" t="s">
        <v>953</v>
      </c>
      <c r="F658" s="21" t="s">
        <v>294</v>
      </c>
      <c r="G658" s="21" t="str">
        <f>HYPERLINK("http://dx.doi.org/10.1088/1748-9326/aa914d","http://dx.doi.org/10.1088/1748-9326/aa914d")</f>
        <v>http://dx.doi.org/10.1088/1748-9326/aa914d</v>
      </c>
      <c r="H658" s="21" t="s">
        <v>2825</v>
      </c>
      <c r="I658" s="21" t="s">
        <v>2832</v>
      </c>
      <c r="J658" s="21" t="s">
        <v>2883</v>
      </c>
      <c r="K658" s="20" t="s">
        <v>0</v>
      </c>
    </row>
    <row r="659" spans="1:11" x14ac:dyDescent="0.2">
      <c r="A659" s="30" t="s">
        <v>2821</v>
      </c>
      <c r="B659" s="21" t="s">
        <v>307</v>
      </c>
      <c r="C659" s="21" t="s">
        <v>308</v>
      </c>
      <c r="D659" s="21">
        <v>2023</v>
      </c>
      <c r="E659" s="21" t="s">
        <v>956</v>
      </c>
      <c r="F659" s="21" t="s">
        <v>309</v>
      </c>
      <c r="G659" s="21" t="str">
        <f>HYPERLINK("http://dx.doi.org/10.1007/s12033-023-00955-0","http://dx.doi.org/10.1007/s12033-023-00955-0")</f>
        <v>http://dx.doi.org/10.1007/s12033-023-00955-0</v>
      </c>
      <c r="H659" s="21" t="s">
        <v>2826</v>
      </c>
      <c r="I659" s="21" t="s">
        <v>2832</v>
      </c>
      <c r="J659" s="21" t="s">
        <v>2213</v>
      </c>
      <c r="K659" s="20" t="s">
        <v>0</v>
      </c>
    </row>
    <row r="660" spans="1:11" x14ac:dyDescent="0.2">
      <c r="A660" s="30" t="s">
        <v>2821</v>
      </c>
      <c r="B660" s="21" t="s">
        <v>1175</v>
      </c>
      <c r="C660" s="21" t="s">
        <v>1094</v>
      </c>
      <c r="D660" s="21">
        <v>2023</v>
      </c>
      <c r="E660" s="21" t="s">
        <v>1006</v>
      </c>
      <c r="F660" s="21" t="s">
        <v>1176</v>
      </c>
      <c r="G660" s="21" t="str">
        <f>HYPERLINK("http://dx.doi.org/10.1177/0734242X221105441","http://dx.doi.org/10.1177/0734242X221105441")</f>
        <v>http://dx.doi.org/10.1177/0734242X221105441</v>
      </c>
      <c r="H660" s="21" t="s">
        <v>2826</v>
      </c>
      <c r="I660" s="21" t="s">
        <v>2900</v>
      </c>
      <c r="J660" s="21" t="s">
        <v>2828</v>
      </c>
      <c r="K660" s="20" t="s">
        <v>0</v>
      </c>
    </row>
    <row r="661" spans="1:11" x14ac:dyDescent="0.2">
      <c r="A661" s="30" t="s">
        <v>2822</v>
      </c>
      <c r="B661" s="21" t="s">
        <v>1237</v>
      </c>
      <c r="C661" s="21" t="s">
        <v>119</v>
      </c>
      <c r="D661" s="21">
        <v>2021</v>
      </c>
      <c r="E661" s="21" t="s">
        <v>931</v>
      </c>
      <c r="F661" s="21" t="s">
        <v>1238</v>
      </c>
      <c r="G661" s="21" t="str">
        <f>HYPERLINK("http://dx.doi.org/10.1016/j.compchemeng.2021.107406","http://dx.doi.org/10.1016/j.compchemeng.2021.107406")</f>
        <v>http://dx.doi.org/10.1016/j.compchemeng.2021.107406</v>
      </c>
      <c r="H661" s="21" t="s">
        <v>1230</v>
      </c>
      <c r="I661" s="21" t="s">
        <v>2262</v>
      </c>
      <c r="J661" s="21" t="s">
        <v>2262</v>
      </c>
      <c r="K661" s="20" t="s">
        <v>0</v>
      </c>
    </row>
    <row r="662" spans="1:11" x14ac:dyDescent="0.2">
      <c r="A662" s="30" t="s">
        <v>1569</v>
      </c>
      <c r="B662" s="21" t="s">
        <v>2101</v>
      </c>
      <c r="C662" s="21" t="s">
        <v>1469</v>
      </c>
      <c r="D662" s="21">
        <v>2009</v>
      </c>
      <c r="E662" s="21" t="s">
        <v>925</v>
      </c>
      <c r="F662" s="21" t="s">
        <v>144</v>
      </c>
      <c r="G662" s="21" t="str">
        <f>HYPERLINK("http://dx.doi.org/10.1016/j.jclepro.2009.05.003","http://dx.doi.org/10.1016/j.jclepro.2009.05.003")</f>
        <v>http://dx.doi.org/10.1016/j.jclepro.2009.05.003</v>
      </c>
      <c r="H662" s="21" t="s">
        <v>2826</v>
      </c>
      <c r="I662" s="21" t="s">
        <v>2835</v>
      </c>
      <c r="J662" s="21" t="s">
        <v>2218</v>
      </c>
      <c r="K662" s="20" t="s">
        <v>0</v>
      </c>
    </row>
    <row r="663" spans="1:11" x14ac:dyDescent="0.2">
      <c r="A663" s="30" t="s">
        <v>1569</v>
      </c>
      <c r="B663" s="21" t="s">
        <v>2031</v>
      </c>
      <c r="C663" s="21" t="s">
        <v>1470</v>
      </c>
      <c r="D663" s="21">
        <v>2014</v>
      </c>
      <c r="E663" s="21" t="s">
        <v>925</v>
      </c>
      <c r="F663" s="21" t="s">
        <v>56</v>
      </c>
      <c r="G663" s="21" t="str">
        <f>HYPERLINK("http://dx.doi.org/10.1016/j.enpol.2013.10.023","http://dx.doi.org/10.1016/j.enpol.2013.10.023")</f>
        <v>http://dx.doi.org/10.1016/j.enpol.2013.10.023</v>
      </c>
      <c r="H663" s="21" t="s">
        <v>2825</v>
      </c>
      <c r="I663" s="21" t="s">
        <v>2832</v>
      </c>
      <c r="J663" s="21" t="s">
        <v>2229</v>
      </c>
      <c r="K663" s="20" t="s">
        <v>0</v>
      </c>
    </row>
    <row r="664" spans="1:11" x14ac:dyDescent="0.2">
      <c r="A664" s="30" t="s">
        <v>2821</v>
      </c>
      <c r="B664" s="21" t="s">
        <v>716</v>
      </c>
      <c r="C664" s="21" t="s">
        <v>717</v>
      </c>
      <c r="D664" s="21">
        <v>2019</v>
      </c>
      <c r="E664" s="21" t="s">
        <v>1044</v>
      </c>
      <c r="F664" s="21" t="s">
        <v>718</v>
      </c>
      <c r="G664" s="21" t="str">
        <f>HYPERLINK("http://dx.doi.org/10.2196/12970","http://dx.doi.org/10.2196/12970")</f>
        <v>http://dx.doi.org/10.2196/12970</v>
      </c>
      <c r="H664" s="21" t="s">
        <v>2826</v>
      </c>
      <c r="I664" s="21" t="s">
        <v>2836</v>
      </c>
      <c r="J664" s="21" t="s">
        <v>2830</v>
      </c>
      <c r="K664" s="20" t="s">
        <v>0</v>
      </c>
    </row>
    <row r="665" spans="1:11" x14ac:dyDescent="0.2">
      <c r="A665" s="30" t="s">
        <v>2821</v>
      </c>
      <c r="B665" s="21" t="s">
        <v>967</v>
      </c>
      <c r="C665" s="21" t="s">
        <v>968</v>
      </c>
      <c r="D665" s="21">
        <v>2022</v>
      </c>
      <c r="E665" s="21" t="s">
        <v>931</v>
      </c>
      <c r="F665" s="21" t="s">
        <v>43</v>
      </c>
      <c r="G665" s="21" t="str">
        <f>HYPERLINK("http://dx.doi.org/10.1016/j.energy.2021.121871","http://dx.doi.org/10.1016/j.energy.2021.121871")</f>
        <v>http://dx.doi.org/10.1016/j.energy.2021.121871</v>
      </c>
      <c r="H665" s="21" t="s">
        <v>2826</v>
      </c>
      <c r="I665" s="21" t="s">
        <v>2834</v>
      </c>
      <c r="J665" s="21" t="s">
        <v>2208</v>
      </c>
      <c r="K665" s="20" t="s">
        <v>0</v>
      </c>
    </row>
    <row r="666" spans="1:11" x14ac:dyDescent="0.2">
      <c r="A666" s="30" t="s">
        <v>1569</v>
      </c>
      <c r="B666" s="21" t="s">
        <v>2042</v>
      </c>
      <c r="C666" s="21" t="s">
        <v>1471</v>
      </c>
      <c r="D666" s="21">
        <v>2013</v>
      </c>
      <c r="E666" s="21" t="s">
        <v>1006</v>
      </c>
      <c r="F666" s="21" t="s">
        <v>1176</v>
      </c>
      <c r="G666" s="21" t="str">
        <f>HYPERLINK("http://dx.doi.org/10.1177/0734242X13493957","http://dx.doi.org/10.1177/0734242X13493957")</f>
        <v>http://dx.doi.org/10.1177/0734242X13493957</v>
      </c>
      <c r="H666" s="21" t="s">
        <v>2825</v>
      </c>
      <c r="I666" s="21" t="s">
        <v>2832</v>
      </c>
      <c r="J666" s="21" t="s">
        <v>2233</v>
      </c>
      <c r="K666" s="20" t="s">
        <v>0</v>
      </c>
    </row>
    <row r="667" spans="1:11" x14ac:dyDescent="0.2">
      <c r="A667" s="30" t="s">
        <v>1569</v>
      </c>
      <c r="B667" s="21" t="s">
        <v>2043</v>
      </c>
      <c r="C667" s="21" t="s">
        <v>1472</v>
      </c>
      <c r="D667" s="21">
        <v>2013</v>
      </c>
      <c r="E667" s="21" t="s">
        <v>931</v>
      </c>
      <c r="F667" s="21" t="s">
        <v>43</v>
      </c>
      <c r="G667" s="21" t="str">
        <f>HYPERLINK("http://dx.doi.org/10.1016/j.energy.2013.05.033","http://dx.doi.org/10.1016/j.energy.2013.05.033")</f>
        <v>http://dx.doi.org/10.1016/j.energy.2013.05.033</v>
      </c>
      <c r="H667" s="21" t="s">
        <v>2826</v>
      </c>
      <c r="I667" s="21" t="s">
        <v>2835</v>
      </c>
      <c r="J667" s="21" t="s">
        <v>2218</v>
      </c>
      <c r="K667" s="20" t="s">
        <v>0</v>
      </c>
    </row>
    <row r="668" spans="1:11" x14ac:dyDescent="0.2">
      <c r="A668" s="30" t="s">
        <v>1569</v>
      </c>
      <c r="B668" s="21" t="s">
        <v>1839</v>
      </c>
      <c r="C668" s="21" t="s">
        <v>1473</v>
      </c>
      <c r="D668" s="21">
        <v>2017</v>
      </c>
      <c r="E668" s="21" t="s">
        <v>931</v>
      </c>
      <c r="F668" s="21" t="s">
        <v>320</v>
      </c>
      <c r="G668" s="21" t="str">
        <f>HYPERLINK("http://dx.doi.org/10.1016/j.solener.2017.06.041","http://dx.doi.org/10.1016/j.solener.2017.06.041")</f>
        <v>http://dx.doi.org/10.1016/j.solener.2017.06.041</v>
      </c>
      <c r="H668" s="21" t="s">
        <v>2826</v>
      </c>
      <c r="I668" s="21" t="s">
        <v>2835</v>
      </c>
      <c r="J668" s="21" t="s">
        <v>2218</v>
      </c>
      <c r="K668" s="20" t="s">
        <v>0</v>
      </c>
    </row>
    <row r="669" spans="1:11" x14ac:dyDescent="0.2">
      <c r="A669" s="30" t="s">
        <v>1569</v>
      </c>
      <c r="B669" s="21" t="s">
        <v>1742</v>
      </c>
      <c r="C669" s="21" t="s">
        <v>1474</v>
      </c>
      <c r="D669" s="21">
        <v>2018</v>
      </c>
      <c r="E669" s="21" t="s">
        <v>925</v>
      </c>
      <c r="F669" s="21" t="s">
        <v>167</v>
      </c>
      <c r="G669" s="21" t="str">
        <f>HYPERLINK("http://dx.doi.org/10.1016/j.apenergy.2018.09.222","http://dx.doi.org/10.1016/j.apenergy.2018.09.222")</f>
        <v>http://dx.doi.org/10.1016/j.apenergy.2018.09.222</v>
      </c>
      <c r="H669" s="21" t="s">
        <v>2825</v>
      </c>
      <c r="I669" s="21" t="s">
        <v>2836</v>
      </c>
      <c r="J669" s="21" t="s">
        <v>2830</v>
      </c>
      <c r="K669" s="20" t="s">
        <v>0</v>
      </c>
    </row>
    <row r="670" spans="1:11" x14ac:dyDescent="0.2">
      <c r="A670" s="30" t="s">
        <v>1569</v>
      </c>
      <c r="B670" s="21" t="s">
        <v>1865</v>
      </c>
      <c r="C670" s="21" t="s">
        <v>2193</v>
      </c>
      <c r="D670" s="21">
        <v>2017</v>
      </c>
      <c r="E670" s="21" t="s">
        <v>934</v>
      </c>
      <c r="F670" s="21" t="s">
        <v>304</v>
      </c>
      <c r="G670" s="21" t="str">
        <f>HYPERLINK("http://dx.doi.org/10.1016/j.enbuild.2017.01.084","http://dx.doi.org/10.1016/j.enbuild.2017.01.084")</f>
        <v>http://dx.doi.org/10.1016/j.enbuild.2017.01.084</v>
      </c>
      <c r="H670" s="21" t="s">
        <v>2826</v>
      </c>
      <c r="I670" s="21" t="s">
        <v>2835</v>
      </c>
      <c r="J670" s="21" t="s">
        <v>2218</v>
      </c>
      <c r="K670" s="20" t="s">
        <v>0</v>
      </c>
    </row>
    <row r="671" spans="1:11" x14ac:dyDescent="0.2">
      <c r="A671" s="30" t="s">
        <v>2821</v>
      </c>
      <c r="B671" s="21" t="s">
        <v>936</v>
      </c>
      <c r="C671" s="21" t="s">
        <v>937</v>
      </c>
      <c r="D671" s="21">
        <v>2024</v>
      </c>
      <c r="E671" s="21" t="s">
        <v>925</v>
      </c>
      <c r="F671" s="21" t="s">
        <v>167</v>
      </c>
      <c r="G671" s="21" t="str">
        <f>HYPERLINK("http://dx.doi.org/10.1016/j.apenergy.2024.123867","http://dx.doi.org/10.1016/j.apenergy.2024.123867")</f>
        <v>http://dx.doi.org/10.1016/j.apenergy.2024.123867</v>
      </c>
      <c r="H671" s="21" t="s">
        <v>2825</v>
      </c>
      <c r="I671" s="21" t="s">
        <v>2835</v>
      </c>
      <c r="J671" s="21" t="s">
        <v>2218</v>
      </c>
      <c r="K671" s="20" t="s">
        <v>0</v>
      </c>
    </row>
    <row r="672" spans="1:11" x14ac:dyDescent="0.2">
      <c r="A672" s="30" t="s">
        <v>1569</v>
      </c>
      <c r="B672" s="21" t="s">
        <v>1688</v>
      </c>
      <c r="C672" s="21" t="s">
        <v>1578</v>
      </c>
      <c r="D672" s="21">
        <v>2019</v>
      </c>
      <c r="E672" s="21" t="s">
        <v>953</v>
      </c>
      <c r="F672" s="21" t="s">
        <v>294</v>
      </c>
      <c r="G672" s="21" t="str">
        <f>HYPERLINK("http://dx.doi.org/10.1088/1748-9326/ab424a","http://dx.doi.org/10.1088/1748-9326/ab424a")</f>
        <v>http://dx.doi.org/10.1088/1748-9326/ab424a</v>
      </c>
      <c r="H672" s="21" t="s">
        <v>2825</v>
      </c>
      <c r="I672" s="21" t="s">
        <v>2836</v>
      </c>
      <c r="J672" s="21" t="s">
        <v>2837</v>
      </c>
      <c r="K672" s="20" t="s">
        <v>0</v>
      </c>
    </row>
    <row r="673" spans="1:11" x14ac:dyDescent="0.2">
      <c r="A673" s="30" t="s">
        <v>1569</v>
      </c>
      <c r="B673" s="21" t="s">
        <v>2018</v>
      </c>
      <c r="C673" s="21" t="s">
        <v>1475</v>
      </c>
      <c r="D673" s="21">
        <v>2014</v>
      </c>
      <c r="E673" s="21" t="s">
        <v>925</v>
      </c>
      <c r="F673" s="21" t="s">
        <v>2019</v>
      </c>
      <c r="G673" s="21" t="str">
        <f>HYPERLINK("http://dx.doi.org/10.1016/j.envsci.2014.02.002","http://dx.doi.org/10.1016/j.envsci.2014.02.002")</f>
        <v>http://dx.doi.org/10.1016/j.envsci.2014.02.002</v>
      </c>
      <c r="H673" s="21" t="s">
        <v>2825</v>
      </c>
      <c r="I673" s="21" t="s">
        <v>2832</v>
      </c>
      <c r="J673" s="21" t="s">
        <v>2892</v>
      </c>
      <c r="K673" s="20" t="s">
        <v>0</v>
      </c>
    </row>
    <row r="674" spans="1:11" x14ac:dyDescent="0.2">
      <c r="A674" s="30" t="s">
        <v>1569</v>
      </c>
      <c r="B674" s="21" t="s">
        <v>2074</v>
      </c>
      <c r="C674" s="21" t="s">
        <v>1476</v>
      </c>
      <c r="D674" s="21">
        <v>2011</v>
      </c>
      <c r="E674" s="21" t="s">
        <v>925</v>
      </c>
      <c r="F674" s="21" t="s">
        <v>144</v>
      </c>
      <c r="G674" s="21" t="str">
        <f>HYPERLINK("http://dx.doi.org/10.1016/j.jclepro.2011.05.010","http://dx.doi.org/10.1016/j.jclepro.2011.05.010")</f>
        <v>http://dx.doi.org/10.1016/j.jclepro.2011.05.010</v>
      </c>
      <c r="H674" s="21" t="s">
        <v>2826</v>
      </c>
      <c r="I674" s="21" t="s">
        <v>2835</v>
      </c>
      <c r="J674" s="21" t="s">
        <v>2218</v>
      </c>
      <c r="K674" s="20" t="s">
        <v>0</v>
      </c>
    </row>
    <row r="675" spans="1:11" x14ac:dyDescent="0.2">
      <c r="A675" s="30" t="s">
        <v>1569</v>
      </c>
      <c r="B675" s="21" t="s">
        <v>1840</v>
      </c>
      <c r="C675" s="21" t="s">
        <v>1629</v>
      </c>
      <c r="D675" s="21">
        <v>2017</v>
      </c>
      <c r="E675" s="21" t="s">
        <v>41</v>
      </c>
      <c r="F675" s="21" t="s">
        <v>54</v>
      </c>
      <c r="G675" s="21" t="str">
        <f>HYPERLINK("http://dx.doi.org/10.3390/su9101697","http://dx.doi.org/10.3390/su9101697")</f>
        <v>http://dx.doi.org/10.3390/su9101697</v>
      </c>
      <c r="H675" s="21" t="s">
        <v>2826</v>
      </c>
      <c r="I675" s="21" t="s">
        <v>2835</v>
      </c>
      <c r="J675" s="21" t="s">
        <v>2218</v>
      </c>
      <c r="K675" s="20" t="s">
        <v>0</v>
      </c>
    </row>
    <row r="676" spans="1:11" x14ac:dyDescent="0.2">
      <c r="A676" s="30" t="s">
        <v>1569</v>
      </c>
      <c r="B676" s="21" t="s">
        <v>1759</v>
      </c>
      <c r="C676" s="21" t="s">
        <v>1477</v>
      </c>
      <c r="D676" s="21">
        <v>2018</v>
      </c>
      <c r="E676" s="21" t="s">
        <v>928</v>
      </c>
      <c r="F676" s="21" t="s">
        <v>173</v>
      </c>
      <c r="G676" s="21" t="str">
        <f>HYPERLINK("http://dx.doi.org/10.1016/j.spc.2018.06.001","http://dx.doi.org/10.1016/j.spc.2018.06.001")</f>
        <v>http://dx.doi.org/10.1016/j.spc.2018.06.001</v>
      </c>
      <c r="H676" s="21" t="s">
        <v>2826</v>
      </c>
      <c r="I676" s="21" t="s">
        <v>2835</v>
      </c>
      <c r="J676" s="21" t="s">
        <v>2216</v>
      </c>
      <c r="K676" s="20" t="s">
        <v>0</v>
      </c>
    </row>
    <row r="677" spans="1:11" x14ac:dyDescent="0.2">
      <c r="A677" s="30" t="s">
        <v>1569</v>
      </c>
      <c r="B677" s="21" t="s">
        <v>2100</v>
      </c>
      <c r="C677" s="21" t="s">
        <v>1478</v>
      </c>
      <c r="D677" s="21">
        <v>2009</v>
      </c>
      <c r="E677" s="21" t="s">
        <v>926</v>
      </c>
      <c r="F677" s="21" t="s">
        <v>209</v>
      </c>
      <c r="G677" s="21" t="str">
        <f>HYPERLINK("http://dx.doi.org/10.1007/s11367-008-0053-5","http://dx.doi.org/10.1007/s11367-008-0053-5")</f>
        <v>http://dx.doi.org/10.1007/s11367-008-0053-5</v>
      </c>
      <c r="H677" s="21" t="s">
        <v>2826</v>
      </c>
      <c r="I677" s="21" t="s">
        <v>2835</v>
      </c>
      <c r="J677" s="21" t="s">
        <v>2218</v>
      </c>
      <c r="K677" s="20" t="s">
        <v>0</v>
      </c>
    </row>
    <row r="678" spans="1:11" x14ac:dyDescent="0.2">
      <c r="A678" s="30" t="s">
        <v>2821</v>
      </c>
      <c r="B678" s="21" t="s">
        <v>819</v>
      </c>
      <c r="C678" s="21" t="s">
        <v>820</v>
      </c>
      <c r="D678" s="21">
        <v>2023</v>
      </c>
      <c r="E678" s="21" t="s">
        <v>1034</v>
      </c>
      <c r="F678" s="21" t="s">
        <v>821</v>
      </c>
      <c r="G678" s="21" t="str">
        <f>HYPERLINK("http://dx.doi.org/10.1080/17480272.2022.2126947","http://dx.doi.org/10.1080/17480272.2022.2126947")</f>
        <v>http://dx.doi.org/10.1080/17480272.2022.2126947</v>
      </c>
      <c r="H678" s="21" t="s">
        <v>2826</v>
      </c>
      <c r="I678" s="21" t="s">
        <v>2836</v>
      </c>
      <c r="J678" s="21" t="s">
        <v>2830</v>
      </c>
      <c r="K678" s="20" t="s">
        <v>0</v>
      </c>
    </row>
    <row r="679" spans="1:11" x14ac:dyDescent="0.2">
      <c r="A679" s="30" t="s">
        <v>2821</v>
      </c>
      <c r="B679" s="21" t="s">
        <v>214</v>
      </c>
      <c r="C679" s="21" t="s">
        <v>82</v>
      </c>
      <c r="D679" s="21">
        <v>2016</v>
      </c>
      <c r="E679" s="21" t="s">
        <v>925</v>
      </c>
      <c r="F679" s="21" t="s">
        <v>144</v>
      </c>
      <c r="G679" s="21" t="str">
        <f>HYPERLINK("http://dx.doi.org/10.1016/j.jclepro.2016.05.146","http://dx.doi.org/10.1016/j.jclepro.2016.05.146")</f>
        <v>http://dx.doi.org/10.1016/j.jclepro.2016.05.146</v>
      </c>
      <c r="H679" s="21" t="s">
        <v>2825</v>
      </c>
      <c r="I679" s="21" t="s">
        <v>2832</v>
      </c>
      <c r="J679" s="21" t="s">
        <v>2884</v>
      </c>
      <c r="K679" s="20" t="s">
        <v>0</v>
      </c>
    </row>
    <row r="680" spans="1:11" x14ac:dyDescent="0.2">
      <c r="A680" s="30" t="s">
        <v>2821</v>
      </c>
      <c r="B680" s="21" t="s">
        <v>362</v>
      </c>
      <c r="C680" s="21" t="s">
        <v>363</v>
      </c>
      <c r="D680" s="21">
        <v>2024</v>
      </c>
      <c r="E680" s="21" t="s">
        <v>934</v>
      </c>
      <c r="F680" s="21" t="s">
        <v>304</v>
      </c>
      <c r="G680" s="21" t="str">
        <f>HYPERLINK("http://dx.doi.org/10.1016/j.enbuild.2024.114214","http://dx.doi.org/10.1016/j.enbuild.2024.114214")</f>
        <v>http://dx.doi.org/10.1016/j.enbuild.2024.114214</v>
      </c>
      <c r="H680" s="21" t="s">
        <v>1230</v>
      </c>
      <c r="I680" s="21" t="s">
        <v>2262</v>
      </c>
      <c r="J680" s="21" t="s">
        <v>2262</v>
      </c>
      <c r="K680" s="20" t="s">
        <v>0</v>
      </c>
    </row>
    <row r="681" spans="1:11" x14ac:dyDescent="0.2">
      <c r="A681" s="30" t="s">
        <v>2820</v>
      </c>
      <c r="B681" s="21" t="s">
        <v>1199</v>
      </c>
      <c r="C681" s="21" t="s">
        <v>22</v>
      </c>
      <c r="D681" s="21">
        <v>2023</v>
      </c>
      <c r="E681" s="21" t="s">
        <v>931</v>
      </c>
      <c r="F681" s="21" t="s">
        <v>306</v>
      </c>
      <c r="G681" s="21" t="str">
        <f>HYPERLINK("http://dx.doi.org/10.1016/j.rser.2023.113485","http://dx.doi.org/10.1016/j.rser.2023.113485")</f>
        <v>http://dx.doi.org/10.1016/j.rser.2023.113485</v>
      </c>
      <c r="H681" s="21" t="s">
        <v>1230</v>
      </c>
      <c r="I681" s="21" t="s">
        <v>2262</v>
      </c>
      <c r="J681" s="21" t="s">
        <v>2262</v>
      </c>
      <c r="K681" s="20" t="s">
        <v>0</v>
      </c>
    </row>
    <row r="682" spans="1:11" x14ac:dyDescent="0.2">
      <c r="A682" s="30" t="s">
        <v>1569</v>
      </c>
      <c r="B682" s="21" t="s">
        <v>1896</v>
      </c>
      <c r="C682" s="21" t="s">
        <v>1480</v>
      </c>
      <c r="D682" s="21">
        <v>2016</v>
      </c>
      <c r="E682" s="21" t="s">
        <v>41</v>
      </c>
      <c r="F682" s="21" t="s">
        <v>1481</v>
      </c>
      <c r="G682" s="21" t="str">
        <f>HYPERLINK("http://dx.doi.org/10.3390/land5040046","http://dx.doi.org/10.3390/land5040046")</f>
        <v>http://dx.doi.org/10.3390/land5040046</v>
      </c>
      <c r="H682" s="21" t="s">
        <v>2826</v>
      </c>
      <c r="I682" s="21" t="s">
        <v>2835</v>
      </c>
      <c r="J682" s="21" t="s">
        <v>2214</v>
      </c>
      <c r="K682" s="20" t="s">
        <v>0</v>
      </c>
    </row>
    <row r="683" spans="1:11" x14ac:dyDescent="0.2">
      <c r="A683" s="30" t="s">
        <v>1569</v>
      </c>
      <c r="B683" s="21" t="s">
        <v>1932</v>
      </c>
      <c r="C683" s="21" t="s">
        <v>1479</v>
      </c>
      <c r="D683" s="21">
        <v>2016</v>
      </c>
      <c r="E683" s="21" t="s">
        <v>966</v>
      </c>
      <c r="F683" s="21" t="s">
        <v>1933</v>
      </c>
      <c r="G683" s="21" t="str">
        <f>HYPERLINK("http://dx.doi.org/10.1080/09640568.2015.1035775","http://dx.doi.org/10.1080/09640568.2015.1035775")</f>
        <v>http://dx.doi.org/10.1080/09640568.2015.1035775</v>
      </c>
      <c r="H683" s="21" t="s">
        <v>2826</v>
      </c>
      <c r="I683" s="21" t="s">
        <v>2835</v>
      </c>
      <c r="J683" s="21" t="s">
        <v>2214</v>
      </c>
      <c r="K683" s="20" t="s">
        <v>0</v>
      </c>
    </row>
    <row r="684" spans="1:11" x14ac:dyDescent="0.2">
      <c r="A684" s="30" t="s">
        <v>1569</v>
      </c>
      <c r="B684" s="21" t="s">
        <v>1893</v>
      </c>
      <c r="C684" s="21" t="s">
        <v>1482</v>
      </c>
      <c r="D684" s="21">
        <v>2016</v>
      </c>
      <c r="E684" s="21" t="s">
        <v>925</v>
      </c>
      <c r="F684" s="21" t="s">
        <v>167</v>
      </c>
      <c r="G684" s="21" t="str">
        <f>HYPERLINK("http://dx.doi.org/10.1016/j.apenergy.2016.10.043","http://dx.doi.org/10.1016/j.apenergy.2016.10.043")</f>
        <v>http://dx.doi.org/10.1016/j.apenergy.2016.10.043</v>
      </c>
      <c r="H684" s="21" t="s">
        <v>2826</v>
      </c>
      <c r="I684" s="21" t="s">
        <v>2835</v>
      </c>
      <c r="J684" s="21" t="s">
        <v>2218</v>
      </c>
      <c r="K684" s="20" t="s">
        <v>0</v>
      </c>
    </row>
    <row r="685" spans="1:11" x14ac:dyDescent="0.2">
      <c r="A685" s="30" t="s">
        <v>2821</v>
      </c>
      <c r="B685" s="21" t="s">
        <v>205</v>
      </c>
      <c r="C685" s="21" t="s">
        <v>206</v>
      </c>
      <c r="D685" s="21">
        <v>2022</v>
      </c>
      <c r="E685" s="21" t="s">
        <v>41</v>
      </c>
      <c r="F685" s="21" t="s">
        <v>207</v>
      </c>
      <c r="G685" s="21" t="str">
        <f>HYPERLINK("http://dx.doi.org/10.3390/app12094597","http://dx.doi.org/10.3390/app12094597")</f>
        <v>http://dx.doi.org/10.3390/app12094597</v>
      </c>
      <c r="H685" s="21" t="s">
        <v>2826</v>
      </c>
      <c r="I685" s="21" t="s">
        <v>2832</v>
      </c>
      <c r="J685" s="21" t="s">
        <v>2213</v>
      </c>
      <c r="K685" s="20" t="s">
        <v>0</v>
      </c>
    </row>
    <row r="686" spans="1:11" x14ac:dyDescent="0.2">
      <c r="A686" s="30" t="s">
        <v>2821</v>
      </c>
      <c r="B686" s="21" t="s">
        <v>171</v>
      </c>
      <c r="C686" s="21" t="s">
        <v>172</v>
      </c>
      <c r="D686" s="21">
        <v>2024</v>
      </c>
      <c r="E686" s="21" t="s">
        <v>928</v>
      </c>
      <c r="F686" s="21" t="s">
        <v>173</v>
      </c>
      <c r="G686" s="21" t="str">
        <f>HYPERLINK("http://dx.doi.org/10.1016/j.spc.2024.11.008","http://dx.doi.org/10.1016/j.spc.2024.11.008")</f>
        <v>http://dx.doi.org/10.1016/j.spc.2024.11.008</v>
      </c>
      <c r="H686" s="21" t="s">
        <v>2826</v>
      </c>
      <c r="I686" s="21" t="s">
        <v>2835</v>
      </c>
      <c r="J686" s="21" t="s">
        <v>2218</v>
      </c>
      <c r="K686" s="20" t="s">
        <v>0</v>
      </c>
    </row>
    <row r="687" spans="1:11" x14ac:dyDescent="0.2">
      <c r="A687" s="30" t="s">
        <v>1569</v>
      </c>
      <c r="B687" s="21" t="s">
        <v>1225</v>
      </c>
      <c r="C687" s="21" t="s">
        <v>81</v>
      </c>
      <c r="D687" s="21">
        <v>2013</v>
      </c>
      <c r="E687" s="21" t="s">
        <v>925</v>
      </c>
      <c r="F687" s="21" t="s">
        <v>167</v>
      </c>
      <c r="G687" s="21" t="str">
        <f>HYPERLINK("http://dx.doi.org/10.1016/j.apenergy.2013.02.052","http://dx.doi.org/10.1016/j.apenergy.2013.02.052")</f>
        <v>http://dx.doi.org/10.1016/j.apenergy.2013.02.052</v>
      </c>
      <c r="H687" s="21" t="s">
        <v>2825</v>
      </c>
      <c r="I687" s="21" t="s">
        <v>2832</v>
      </c>
      <c r="J687" s="21" t="s">
        <v>2212</v>
      </c>
      <c r="K687" s="20" t="s">
        <v>0</v>
      </c>
    </row>
    <row r="688" spans="1:11" x14ac:dyDescent="0.2">
      <c r="A688" s="30" t="s">
        <v>2821</v>
      </c>
      <c r="B688" s="21" t="s">
        <v>442</v>
      </c>
      <c r="C688" s="21" t="s">
        <v>443</v>
      </c>
      <c r="D688" s="21">
        <v>2022</v>
      </c>
      <c r="E688" s="21" t="s">
        <v>925</v>
      </c>
      <c r="F688" s="21" t="s">
        <v>167</v>
      </c>
      <c r="G688" s="21" t="str">
        <f>HYPERLINK("http://dx.doi.org/10.1016/j.apenergy.2021.118065","http://dx.doi.org/10.1016/j.apenergy.2021.118065")</f>
        <v>http://dx.doi.org/10.1016/j.apenergy.2021.118065</v>
      </c>
      <c r="H688" s="21" t="s">
        <v>1230</v>
      </c>
      <c r="I688" s="21" t="s">
        <v>2262</v>
      </c>
      <c r="J688" s="21" t="s">
        <v>2262</v>
      </c>
      <c r="K688" s="20" t="s">
        <v>0</v>
      </c>
    </row>
    <row r="689" spans="1:11" x14ac:dyDescent="0.2">
      <c r="A689" s="30" t="s">
        <v>2821</v>
      </c>
      <c r="B689" s="21" t="s">
        <v>128</v>
      </c>
      <c r="C689" s="21" t="s">
        <v>129</v>
      </c>
      <c r="D689" s="21">
        <v>2014</v>
      </c>
      <c r="E689" s="21" t="s">
        <v>927</v>
      </c>
      <c r="F689" s="21" t="s">
        <v>130</v>
      </c>
      <c r="G689" s="21" t="str">
        <f>HYPERLINK("http://dx.doi.org/10.1051/mattech/2014043","http://dx.doi.org/10.1051/mattech/2014043")</f>
        <v>http://dx.doi.org/10.1051/mattech/2014043</v>
      </c>
      <c r="H689" s="21" t="s">
        <v>2825</v>
      </c>
      <c r="I689" s="21" t="s">
        <v>2836</v>
      </c>
      <c r="J689" s="21" t="s">
        <v>2830</v>
      </c>
      <c r="K689" s="20" t="s">
        <v>0</v>
      </c>
    </row>
    <row r="690" spans="1:11" x14ac:dyDescent="0.2">
      <c r="A690" s="30" t="s">
        <v>1569</v>
      </c>
      <c r="B690" s="21" t="s">
        <v>1704</v>
      </c>
      <c r="C690" s="21" t="s">
        <v>1590</v>
      </c>
      <c r="D690" s="21">
        <v>2019</v>
      </c>
      <c r="E690" s="21" t="s">
        <v>925</v>
      </c>
      <c r="F690" s="21" t="s">
        <v>144</v>
      </c>
      <c r="G690" s="21" t="str">
        <f>HYPERLINK("http://dx.doi.org/10.1016/j.jclepro.2019.03.015","http://dx.doi.org/10.1016/j.jclepro.2019.03.015")</f>
        <v>http://dx.doi.org/10.1016/j.jclepro.2019.03.015</v>
      </c>
      <c r="H690" s="21" t="s">
        <v>2826</v>
      </c>
      <c r="I690" s="21" t="s">
        <v>2835</v>
      </c>
      <c r="J690" s="21" t="s">
        <v>2218</v>
      </c>
      <c r="K690" s="20" t="s">
        <v>0</v>
      </c>
    </row>
    <row r="691" spans="1:11" x14ac:dyDescent="0.2">
      <c r="A691" s="30" t="s">
        <v>2821</v>
      </c>
      <c r="B691" s="21" t="s">
        <v>528</v>
      </c>
      <c r="C691" s="21" t="s">
        <v>529</v>
      </c>
      <c r="D691" s="21">
        <v>2022</v>
      </c>
      <c r="E691" s="21" t="s">
        <v>924</v>
      </c>
      <c r="F691" s="21" t="s">
        <v>175</v>
      </c>
      <c r="G691" s="21" t="str">
        <f>HYPERLINK("http://dx.doi.org/10.1021/acssuschemeng.1c06118","http://dx.doi.org/10.1021/acssuschemeng.1c06118")</f>
        <v>http://dx.doi.org/10.1021/acssuschemeng.1c06118</v>
      </c>
      <c r="H691" s="21" t="s">
        <v>2826</v>
      </c>
      <c r="I691" s="21" t="s">
        <v>2835</v>
      </c>
      <c r="J691" s="21" t="s">
        <v>2219</v>
      </c>
      <c r="K691" s="20" t="s">
        <v>0</v>
      </c>
    </row>
    <row r="692" spans="1:11" x14ac:dyDescent="0.2">
      <c r="A692" s="30" t="s">
        <v>2821</v>
      </c>
      <c r="B692" s="21" t="s">
        <v>145</v>
      </c>
      <c r="C692" s="21" t="s">
        <v>146</v>
      </c>
      <c r="D692" s="21">
        <v>2023</v>
      </c>
      <c r="E692" s="21" t="s">
        <v>931</v>
      </c>
      <c r="F692" s="21" t="s">
        <v>147</v>
      </c>
      <c r="G692" s="21" t="str">
        <f>HYPERLINK("http://dx.doi.org/10.1016/j.trd.2023.103717","http://dx.doi.org/10.1016/j.trd.2023.103717")</f>
        <v>http://dx.doi.org/10.1016/j.trd.2023.103717</v>
      </c>
      <c r="H692" s="21" t="s">
        <v>2826</v>
      </c>
      <c r="I692" s="21" t="s">
        <v>2900</v>
      </c>
      <c r="J692" s="21" t="s">
        <v>2828</v>
      </c>
      <c r="K692" s="20" t="s">
        <v>0</v>
      </c>
    </row>
    <row r="693" spans="1:11" x14ac:dyDescent="0.2">
      <c r="A693" s="30" t="s">
        <v>2821</v>
      </c>
      <c r="B693" s="21" t="s">
        <v>672</v>
      </c>
      <c r="C693" s="21" t="s">
        <v>673</v>
      </c>
      <c r="D693" s="21">
        <v>2015</v>
      </c>
      <c r="E693" s="21" t="s">
        <v>1034</v>
      </c>
      <c r="F693" s="21" t="s">
        <v>674</v>
      </c>
      <c r="G693" s="21" t="str">
        <f>HYPERLINK("http://dx.doi.org/10.3402/dfa.v6.25508","http://dx.doi.org/10.3402/dfa.v6.25508")</f>
        <v>http://dx.doi.org/10.3402/dfa.v6.25508</v>
      </c>
      <c r="H693" s="21" t="s">
        <v>2826</v>
      </c>
      <c r="I693" s="21" t="s">
        <v>2836</v>
      </c>
      <c r="J693" s="21" t="s">
        <v>2830</v>
      </c>
      <c r="K693" s="20" t="s">
        <v>0</v>
      </c>
    </row>
    <row r="694" spans="1:11" x14ac:dyDescent="0.2">
      <c r="A694" s="30" t="s">
        <v>2821</v>
      </c>
      <c r="B694" s="21" t="s">
        <v>648</v>
      </c>
      <c r="C694" s="21" t="s">
        <v>649</v>
      </c>
      <c r="D694" s="21">
        <v>2019</v>
      </c>
      <c r="E694" s="21" t="s">
        <v>1019</v>
      </c>
      <c r="F694" s="21" t="s">
        <v>650</v>
      </c>
      <c r="G694" s="21" t="str">
        <f>HYPERLINK("http://dx.doi.org/10.1175/MWR-D-18-0157.1","http://dx.doi.org/10.1175/MWR-D-18-0157.1")</f>
        <v>http://dx.doi.org/10.1175/MWR-D-18-0157.1</v>
      </c>
      <c r="H694" s="21" t="s">
        <v>2826</v>
      </c>
      <c r="I694" s="21" t="s">
        <v>2836</v>
      </c>
      <c r="J694" s="21" t="s">
        <v>2830</v>
      </c>
      <c r="K694" s="20" t="s">
        <v>0</v>
      </c>
    </row>
    <row r="695" spans="1:11" x14ac:dyDescent="0.2">
      <c r="A695" s="30" t="s">
        <v>2821</v>
      </c>
      <c r="B695" s="21" t="s">
        <v>305</v>
      </c>
      <c r="C695" s="21" t="s">
        <v>29</v>
      </c>
      <c r="D695" s="21">
        <v>2022</v>
      </c>
      <c r="E695" s="21" t="s">
        <v>931</v>
      </c>
      <c r="F695" s="21" t="s">
        <v>306</v>
      </c>
      <c r="G695" s="21" t="str">
        <f>HYPERLINK("http://dx.doi.org/10.1016/j.rser.2022.112311","http://dx.doi.org/10.1016/j.rser.2022.112311")</f>
        <v>http://dx.doi.org/10.1016/j.rser.2022.112311</v>
      </c>
      <c r="H695" s="21" t="s">
        <v>2825</v>
      </c>
      <c r="I695" s="21" t="s">
        <v>2835</v>
      </c>
      <c r="J695" s="21" t="s">
        <v>2218</v>
      </c>
      <c r="K695" s="20" t="s">
        <v>0</v>
      </c>
    </row>
    <row r="696" spans="1:11" x14ac:dyDescent="0.2">
      <c r="A696" s="30" t="s">
        <v>2822</v>
      </c>
      <c r="B696" s="21" t="s">
        <v>1233</v>
      </c>
      <c r="C696" s="21" t="s">
        <v>1</v>
      </c>
      <c r="D696" s="21">
        <v>2023</v>
      </c>
      <c r="E696" s="21" t="s">
        <v>933</v>
      </c>
      <c r="F696" s="21" t="s">
        <v>451</v>
      </c>
      <c r="G696" s="21" t="str">
        <f>HYPERLINK("http://dx.doi.org/10.1038/s41467-023-39749-y","http://dx.doi.org/10.1038/s41467-023-39749-y")</f>
        <v>http://dx.doi.org/10.1038/s41467-023-39749-y</v>
      </c>
      <c r="H696" s="21" t="s">
        <v>1230</v>
      </c>
      <c r="I696" s="21" t="s">
        <v>2262</v>
      </c>
      <c r="J696" s="21" t="s">
        <v>2262</v>
      </c>
      <c r="K696" s="20" t="s">
        <v>0</v>
      </c>
    </row>
    <row r="697" spans="1:11" x14ac:dyDescent="0.2">
      <c r="A697" s="30" t="s">
        <v>2821</v>
      </c>
      <c r="B697" s="21" t="s">
        <v>522</v>
      </c>
      <c r="C697" s="21" t="s">
        <v>523</v>
      </c>
      <c r="D697" s="21">
        <v>2025</v>
      </c>
      <c r="E697" s="21" t="s">
        <v>931</v>
      </c>
      <c r="F697" s="21" t="s">
        <v>524</v>
      </c>
      <c r="G697" s="21" t="str">
        <f>HYPERLINK("http://dx.doi.org/10.1016/j.applthermaleng.2024.124478","http://dx.doi.org/10.1016/j.applthermaleng.2024.124478")</f>
        <v>http://dx.doi.org/10.1016/j.applthermaleng.2024.124478</v>
      </c>
      <c r="H697" s="21" t="s">
        <v>2826</v>
      </c>
      <c r="I697" s="21" t="s">
        <v>2900</v>
      </c>
      <c r="J697" s="21" t="s">
        <v>2828</v>
      </c>
      <c r="K697" s="20" t="s">
        <v>0</v>
      </c>
    </row>
    <row r="698" spans="1:11" x14ac:dyDescent="0.2">
      <c r="A698" s="30" t="s">
        <v>2821</v>
      </c>
      <c r="B698" s="21" t="s">
        <v>701</v>
      </c>
      <c r="C698" s="21" t="s">
        <v>702</v>
      </c>
      <c r="D698" s="21">
        <v>2024</v>
      </c>
      <c r="E698" s="21" t="s">
        <v>41</v>
      </c>
      <c r="F698" s="21" t="s">
        <v>703</v>
      </c>
      <c r="G698" s="21" t="str">
        <f>HYPERLINK("http://dx.doi.org/10.3390/min14020120","http://dx.doi.org/10.3390/min14020120")</f>
        <v>http://dx.doi.org/10.3390/min14020120</v>
      </c>
      <c r="H698" s="21" t="s">
        <v>2826</v>
      </c>
      <c r="I698" s="21" t="s">
        <v>2833</v>
      </c>
      <c r="J698" s="21" t="s">
        <v>2827</v>
      </c>
      <c r="K698" s="20" t="s">
        <v>0</v>
      </c>
    </row>
    <row r="699" spans="1:11" x14ac:dyDescent="0.2">
      <c r="A699" s="30" t="s">
        <v>1569</v>
      </c>
      <c r="B699" s="21" t="s">
        <v>1676</v>
      </c>
      <c r="C699" s="21" t="s">
        <v>1570</v>
      </c>
      <c r="D699" s="21">
        <v>2020</v>
      </c>
      <c r="E699" s="21" t="s">
        <v>942</v>
      </c>
      <c r="F699" s="21" t="s">
        <v>194</v>
      </c>
      <c r="G699" s="21" t="str">
        <f>HYPERLINK("http://dx.doi.org/10.1002/ente.201900976","http://dx.doi.org/10.1002/ente.201900976")</f>
        <v>http://dx.doi.org/10.1002/ente.201900976</v>
      </c>
      <c r="H699" s="21" t="s">
        <v>2826</v>
      </c>
      <c r="I699" s="21" t="s">
        <v>2832</v>
      </c>
      <c r="J699" s="21" t="s">
        <v>2847</v>
      </c>
      <c r="K699" s="20" t="s">
        <v>0</v>
      </c>
    </row>
    <row r="700" spans="1:11" x14ac:dyDescent="0.2">
      <c r="A700" s="30" t="s">
        <v>1569</v>
      </c>
      <c r="B700" s="21" t="s">
        <v>1780</v>
      </c>
      <c r="C700" s="21" t="s">
        <v>78</v>
      </c>
      <c r="D700" s="21">
        <v>2018</v>
      </c>
      <c r="E700" s="21" t="s">
        <v>1781</v>
      </c>
      <c r="F700" s="21" t="s">
        <v>1782</v>
      </c>
      <c r="G700" s="21" t="str">
        <f>HYPERLINK("http://dx.doi.org/10.1007/s40093-018-0208-8","http://dx.doi.org/10.1007/s40093-018-0208-8")</f>
        <v>http://dx.doi.org/10.1007/s40093-018-0208-8</v>
      </c>
      <c r="H700" s="21" t="s">
        <v>2826</v>
      </c>
      <c r="I700" s="21" t="s">
        <v>2835</v>
      </c>
      <c r="J700" s="21" t="s">
        <v>2218</v>
      </c>
      <c r="K700" s="20" t="s">
        <v>0</v>
      </c>
    </row>
    <row r="701" spans="1:11" x14ac:dyDescent="0.2">
      <c r="A701" s="30" t="s">
        <v>2821</v>
      </c>
      <c r="B701" s="21" t="s">
        <v>691</v>
      </c>
      <c r="C701" s="21" t="s">
        <v>692</v>
      </c>
      <c r="D701" s="21">
        <v>2013</v>
      </c>
      <c r="E701" s="21" t="s">
        <v>1036</v>
      </c>
      <c r="F701" s="21" t="s">
        <v>693</v>
      </c>
      <c r="G701" s="21" t="s">
        <v>2262</v>
      </c>
      <c r="H701" s="21" t="s">
        <v>2826</v>
      </c>
      <c r="I701" s="21" t="s">
        <v>2836</v>
      </c>
      <c r="J701" s="21" t="s">
        <v>2830</v>
      </c>
      <c r="K701" s="20" t="s">
        <v>0</v>
      </c>
    </row>
    <row r="702" spans="1:11" x14ac:dyDescent="0.2">
      <c r="A702" s="30" t="s">
        <v>1569</v>
      </c>
      <c r="B702" s="21" t="s">
        <v>2026</v>
      </c>
      <c r="C702" s="21" t="s">
        <v>1484</v>
      </c>
      <c r="D702" s="21">
        <v>2014</v>
      </c>
      <c r="E702" s="21" t="s">
        <v>926</v>
      </c>
      <c r="F702" s="21" t="s">
        <v>209</v>
      </c>
      <c r="G702" s="21" t="str">
        <f>HYPERLINK("http://dx.doi.org/10.1007/s11367-013-0686-x","http://dx.doi.org/10.1007/s11367-013-0686-x")</f>
        <v>http://dx.doi.org/10.1007/s11367-013-0686-x</v>
      </c>
      <c r="H702" s="21" t="s">
        <v>2826</v>
      </c>
      <c r="I702" s="21" t="s">
        <v>2835</v>
      </c>
      <c r="J702" s="21" t="s">
        <v>2218</v>
      </c>
      <c r="K702" s="20" t="s">
        <v>0</v>
      </c>
    </row>
    <row r="703" spans="1:11" x14ac:dyDescent="0.2">
      <c r="A703" s="30" t="s">
        <v>1569</v>
      </c>
      <c r="B703" s="21" t="s">
        <v>2026</v>
      </c>
      <c r="C703" s="21" t="s">
        <v>1483</v>
      </c>
      <c r="D703" s="21">
        <v>2013</v>
      </c>
      <c r="E703" s="21" t="s">
        <v>928</v>
      </c>
      <c r="F703" s="21" t="s">
        <v>213</v>
      </c>
      <c r="G703" s="21" t="str">
        <f>HYPERLINK("http://dx.doi.org/10.1016/j.resconrec.2013.01.020","http://dx.doi.org/10.1016/j.resconrec.2013.01.020")</f>
        <v>http://dx.doi.org/10.1016/j.resconrec.2013.01.020</v>
      </c>
      <c r="H703" s="21" t="s">
        <v>2826</v>
      </c>
      <c r="I703" s="21" t="s">
        <v>2835</v>
      </c>
      <c r="J703" s="21" t="s">
        <v>2218</v>
      </c>
      <c r="K703" s="20" t="s">
        <v>0</v>
      </c>
    </row>
    <row r="704" spans="1:11" x14ac:dyDescent="0.2">
      <c r="A704" s="30" t="s">
        <v>1569</v>
      </c>
      <c r="B704" s="21" t="s">
        <v>1695</v>
      </c>
      <c r="C704" s="21" t="s">
        <v>1582</v>
      </c>
      <c r="D704" s="21">
        <v>2019</v>
      </c>
      <c r="E704" s="21" t="s">
        <v>925</v>
      </c>
      <c r="F704" s="21" t="s">
        <v>144</v>
      </c>
      <c r="G704" s="21" t="str">
        <f>HYPERLINK("http://dx.doi.org/10.1016/j.jclepro.2019.05.299","http://dx.doi.org/10.1016/j.jclepro.2019.05.299")</f>
        <v>http://dx.doi.org/10.1016/j.jclepro.2019.05.299</v>
      </c>
      <c r="H704" s="21" t="s">
        <v>2826</v>
      </c>
      <c r="I704" s="21" t="s">
        <v>2835</v>
      </c>
      <c r="J704" s="21" t="s">
        <v>2216</v>
      </c>
      <c r="K704" s="20" t="s">
        <v>0</v>
      </c>
    </row>
    <row r="705" spans="1:11" x14ac:dyDescent="0.2">
      <c r="A705" s="30" t="s">
        <v>1569</v>
      </c>
      <c r="B705" s="21" t="s">
        <v>1822</v>
      </c>
      <c r="C705" s="21" t="s">
        <v>1485</v>
      </c>
      <c r="D705" s="21">
        <v>2017</v>
      </c>
      <c r="E705" s="21" t="s">
        <v>925</v>
      </c>
      <c r="F705" s="21" t="s">
        <v>144</v>
      </c>
      <c r="G705" s="21" t="str">
        <f>HYPERLINK("http://dx.doi.org/10.1016/j.jclepro.2017.03.145","http://dx.doi.org/10.1016/j.jclepro.2017.03.145")</f>
        <v>http://dx.doi.org/10.1016/j.jclepro.2017.03.145</v>
      </c>
      <c r="H705" s="21" t="s">
        <v>2825</v>
      </c>
      <c r="I705" s="21" t="s">
        <v>2209</v>
      </c>
      <c r="J705" s="21" t="s">
        <v>2206</v>
      </c>
      <c r="K705" s="20" t="s">
        <v>0</v>
      </c>
    </row>
    <row r="706" spans="1:11" x14ac:dyDescent="0.2">
      <c r="A706" s="30" t="s">
        <v>1569</v>
      </c>
      <c r="B706" s="21" t="s">
        <v>2008</v>
      </c>
      <c r="C706" s="21" t="s">
        <v>1646</v>
      </c>
      <c r="D706" s="21">
        <v>2014</v>
      </c>
      <c r="E706" s="21" t="s">
        <v>925</v>
      </c>
      <c r="F706" s="21" t="s">
        <v>144</v>
      </c>
      <c r="G706" s="21" t="str">
        <f>HYPERLINK("http://dx.doi.org/10.1016/j.jclepro.2014.05.061","http://dx.doi.org/10.1016/j.jclepro.2014.05.061")</f>
        <v>http://dx.doi.org/10.1016/j.jclepro.2014.05.061</v>
      </c>
      <c r="H706" s="21" t="s">
        <v>2825</v>
      </c>
      <c r="I706" s="21" t="s">
        <v>2209</v>
      </c>
      <c r="J706" s="21" t="s">
        <v>2207</v>
      </c>
      <c r="K706" s="20" t="s">
        <v>0</v>
      </c>
    </row>
    <row r="707" spans="1:11" x14ac:dyDescent="0.2">
      <c r="A707" s="30" t="s">
        <v>2821</v>
      </c>
      <c r="B707" s="21" t="s">
        <v>704</v>
      </c>
      <c r="C707" s="21" t="s">
        <v>705</v>
      </c>
      <c r="D707" s="21">
        <v>2020</v>
      </c>
      <c r="E707" s="21" t="s">
        <v>925</v>
      </c>
      <c r="F707" s="21" t="s">
        <v>144</v>
      </c>
      <c r="G707" s="21" t="str">
        <f>HYPERLINK("http://dx.doi.org/10.1016/j.jclepro.2020.120850","http://dx.doi.org/10.1016/j.jclepro.2020.120850")</f>
        <v>http://dx.doi.org/10.1016/j.jclepro.2020.120850</v>
      </c>
      <c r="H707" s="21" t="s">
        <v>2826</v>
      </c>
      <c r="I707" s="21" t="s">
        <v>2836</v>
      </c>
      <c r="J707" s="21" t="s">
        <v>2830</v>
      </c>
      <c r="K707" s="20" t="s">
        <v>0</v>
      </c>
    </row>
    <row r="708" spans="1:11" x14ac:dyDescent="0.2">
      <c r="A708" s="30" t="s">
        <v>1569</v>
      </c>
      <c r="B708" s="21" t="s">
        <v>1953</v>
      </c>
      <c r="C708" s="21" t="s">
        <v>1486</v>
      </c>
      <c r="D708" s="21">
        <v>2016</v>
      </c>
      <c r="E708" s="21" t="s">
        <v>930</v>
      </c>
      <c r="F708" s="21" t="s">
        <v>220</v>
      </c>
      <c r="G708" s="21" t="str">
        <f>HYPERLINK("http://dx.doi.org/10.1039/c5ee03040d","http://dx.doi.org/10.1039/c5ee03040d")</f>
        <v>http://dx.doi.org/10.1039/c5ee03040d</v>
      </c>
      <c r="H708" s="21" t="s">
        <v>2826</v>
      </c>
      <c r="I708" s="21" t="s">
        <v>2835</v>
      </c>
      <c r="J708" s="21" t="s">
        <v>2218</v>
      </c>
      <c r="K708" s="20" t="s">
        <v>0</v>
      </c>
    </row>
    <row r="709" spans="1:11" x14ac:dyDescent="0.2">
      <c r="A709" s="30" t="s">
        <v>2821</v>
      </c>
      <c r="B709" s="21" t="s">
        <v>855</v>
      </c>
      <c r="C709" s="21" t="s">
        <v>856</v>
      </c>
      <c r="D709" s="21">
        <v>2013</v>
      </c>
      <c r="E709" s="21" t="s">
        <v>930</v>
      </c>
      <c r="F709" s="21" t="s">
        <v>857</v>
      </c>
      <c r="G709" s="21" t="str">
        <f>HYPERLINK("http://dx.doi.org/10.1039/c3ra40265g","http://dx.doi.org/10.1039/c3ra40265g")</f>
        <v>http://dx.doi.org/10.1039/c3ra40265g</v>
      </c>
      <c r="H709" s="21" t="s">
        <v>2825</v>
      </c>
      <c r="I709" s="21" t="s">
        <v>2832</v>
      </c>
      <c r="J709" s="21" t="s">
        <v>2888</v>
      </c>
      <c r="K709" s="20" t="s">
        <v>0</v>
      </c>
    </row>
    <row r="710" spans="1:11" x14ac:dyDescent="0.2">
      <c r="A710" s="30" t="s">
        <v>2821</v>
      </c>
      <c r="B710" s="21" t="s">
        <v>852</v>
      </c>
      <c r="C710" s="21" t="s">
        <v>853</v>
      </c>
      <c r="D710" s="21">
        <v>2014</v>
      </c>
      <c r="E710" s="21" t="s">
        <v>930</v>
      </c>
      <c r="F710" s="21" t="s">
        <v>220</v>
      </c>
      <c r="G710" s="21" t="str">
        <f>HYPERLINK("http://dx.doi.org/10.1039/c4ee01019a","http://dx.doi.org/10.1039/c4ee01019a")</f>
        <v>http://dx.doi.org/10.1039/c4ee01019a</v>
      </c>
      <c r="H710" s="21" t="s">
        <v>2826</v>
      </c>
      <c r="I710" s="21" t="s">
        <v>2833</v>
      </c>
      <c r="J710" s="21" t="s">
        <v>2827</v>
      </c>
      <c r="K710" s="20" t="s">
        <v>0</v>
      </c>
    </row>
    <row r="711" spans="1:11" x14ac:dyDescent="0.2">
      <c r="A711" s="30" t="s">
        <v>1569</v>
      </c>
      <c r="B711" s="21" t="s">
        <v>1875</v>
      </c>
      <c r="C711" s="21" t="s">
        <v>1487</v>
      </c>
      <c r="D711" s="21">
        <v>2017</v>
      </c>
      <c r="E711" s="21" t="s">
        <v>925</v>
      </c>
      <c r="F711" s="21" t="s">
        <v>167</v>
      </c>
      <c r="G711" s="21" t="str">
        <f>HYPERLINK("http://dx.doi.org/10.1016/j.apenergy.2016.11.124","http://dx.doi.org/10.1016/j.apenergy.2016.11.124")</f>
        <v>http://dx.doi.org/10.1016/j.apenergy.2016.11.124</v>
      </c>
      <c r="H711" s="21" t="s">
        <v>2826</v>
      </c>
      <c r="I711" s="21" t="s">
        <v>2835</v>
      </c>
      <c r="J711" s="21" t="s">
        <v>2218</v>
      </c>
      <c r="K711" s="20" t="s">
        <v>0</v>
      </c>
    </row>
    <row r="712" spans="1:11" x14ac:dyDescent="0.2">
      <c r="A712" s="30" t="s">
        <v>1569</v>
      </c>
      <c r="B712" s="21" t="s">
        <v>1764</v>
      </c>
      <c r="C712" s="21" t="s">
        <v>1488</v>
      </c>
      <c r="D712" s="21">
        <v>2018</v>
      </c>
      <c r="E712" s="21" t="s">
        <v>41</v>
      </c>
      <c r="F712" s="21" t="s">
        <v>54</v>
      </c>
      <c r="G712" s="21" t="str">
        <f>HYPERLINK("http://dx.doi.org/10.3390/su10093184","http://dx.doi.org/10.3390/su10093184")</f>
        <v>http://dx.doi.org/10.3390/su10093184</v>
      </c>
      <c r="H712" s="21" t="s">
        <v>2826</v>
      </c>
      <c r="I712" s="21" t="s">
        <v>2835</v>
      </c>
      <c r="J712" s="21" t="s">
        <v>2218</v>
      </c>
      <c r="K712" s="20" t="s">
        <v>0</v>
      </c>
    </row>
    <row r="713" spans="1:11" x14ac:dyDescent="0.2">
      <c r="A713" s="30" t="s">
        <v>1569</v>
      </c>
      <c r="B713" s="21" t="s">
        <v>2058</v>
      </c>
      <c r="C713" s="21" t="s">
        <v>1489</v>
      </c>
      <c r="D713" s="21">
        <v>2012</v>
      </c>
      <c r="E713" s="21" t="s">
        <v>953</v>
      </c>
      <c r="F713" s="21" t="s">
        <v>294</v>
      </c>
      <c r="G713" s="21" t="str">
        <f>HYPERLINK("http://dx.doi.org/10.1088/1748-9326/7/3/034037","http://dx.doi.org/10.1088/1748-9326/7/3/034037")</f>
        <v>http://dx.doi.org/10.1088/1748-9326/7/3/034037</v>
      </c>
      <c r="H713" s="21" t="s">
        <v>2826</v>
      </c>
      <c r="I713" s="21" t="s">
        <v>2835</v>
      </c>
      <c r="J713" s="21" t="s">
        <v>2215</v>
      </c>
      <c r="K713" s="20" t="s">
        <v>0</v>
      </c>
    </row>
    <row r="714" spans="1:11" x14ac:dyDescent="0.2">
      <c r="A714" s="30" t="s">
        <v>1569</v>
      </c>
      <c r="B714" s="21" t="s">
        <v>2117</v>
      </c>
      <c r="C714" s="21" t="s">
        <v>1490</v>
      </c>
      <c r="D714" s="21">
        <v>2006</v>
      </c>
      <c r="E714" s="21" t="s">
        <v>931</v>
      </c>
      <c r="F714" s="21" t="s">
        <v>2118</v>
      </c>
      <c r="G714" s="21" t="str">
        <f>HYPERLINK("http://dx.doi.org/10.1016/j.envint.2006.03.001","http://dx.doi.org/10.1016/j.envint.2006.03.001")</f>
        <v>http://dx.doi.org/10.1016/j.envint.2006.03.001</v>
      </c>
      <c r="H714" s="21" t="s">
        <v>2826</v>
      </c>
      <c r="I714" s="21" t="s">
        <v>2832</v>
      </c>
      <c r="J714" s="21" t="s">
        <v>2847</v>
      </c>
      <c r="K714" s="20" t="s">
        <v>0</v>
      </c>
    </row>
    <row r="715" spans="1:11" x14ac:dyDescent="0.2">
      <c r="A715" s="30" t="s">
        <v>1569</v>
      </c>
      <c r="B715" s="21" t="s">
        <v>1701</v>
      </c>
      <c r="C715" s="21" t="s">
        <v>1587</v>
      </c>
      <c r="D715" s="21">
        <v>2019</v>
      </c>
      <c r="E715" s="21" t="s">
        <v>41</v>
      </c>
      <c r="F715" s="21" t="s">
        <v>54</v>
      </c>
      <c r="G715" s="21" t="str">
        <f>HYPERLINK("http://dx.doi.org/10.3390/su11164299","http://dx.doi.org/10.3390/su11164299")</f>
        <v>http://dx.doi.org/10.3390/su11164299</v>
      </c>
      <c r="H715" s="21" t="s">
        <v>2826</v>
      </c>
      <c r="I715" s="21" t="s">
        <v>2835</v>
      </c>
      <c r="J715" s="21" t="s">
        <v>2218</v>
      </c>
      <c r="K715" s="20" t="s">
        <v>0</v>
      </c>
    </row>
    <row r="716" spans="1:11" x14ac:dyDescent="0.2">
      <c r="A716" s="30" t="s">
        <v>1569</v>
      </c>
      <c r="B716" s="21" t="s">
        <v>2020</v>
      </c>
      <c r="C716" s="21" t="s">
        <v>1650</v>
      </c>
      <c r="D716" s="21">
        <v>2014</v>
      </c>
      <c r="E716" s="21" t="s">
        <v>931</v>
      </c>
      <c r="F716" s="21" t="s">
        <v>228</v>
      </c>
      <c r="G716" s="21" t="str">
        <f>HYPERLINK("http://dx.doi.org/10.1016/j.biombioe.2014.03.051","http://dx.doi.org/10.1016/j.biombioe.2014.03.051")</f>
        <v>http://dx.doi.org/10.1016/j.biombioe.2014.03.051</v>
      </c>
      <c r="H716" s="21" t="s">
        <v>2825</v>
      </c>
      <c r="I716" s="21" t="s">
        <v>2835</v>
      </c>
      <c r="J716" s="21" t="s">
        <v>2218</v>
      </c>
      <c r="K716" s="20" t="s">
        <v>0</v>
      </c>
    </row>
    <row r="717" spans="1:11" x14ac:dyDescent="0.2">
      <c r="A717" s="30" t="s">
        <v>2821</v>
      </c>
      <c r="B717" s="21" t="s">
        <v>919</v>
      </c>
      <c r="C717" s="21" t="s">
        <v>920</v>
      </c>
      <c r="D717" s="21">
        <v>2021</v>
      </c>
      <c r="E717" s="21" t="s">
        <v>1013</v>
      </c>
      <c r="F717" s="21" t="s">
        <v>921</v>
      </c>
      <c r="G717" s="21" t="str">
        <f>HYPERLINK("http://dx.doi.org/10.1002/eet.1950","http://dx.doi.org/10.1002/eet.1950")</f>
        <v>http://dx.doi.org/10.1002/eet.1950</v>
      </c>
      <c r="H717" s="21" t="s">
        <v>2826</v>
      </c>
      <c r="I717" s="21" t="s">
        <v>2836</v>
      </c>
      <c r="J717" s="21" t="s">
        <v>2830</v>
      </c>
      <c r="K717" s="20" t="s">
        <v>0</v>
      </c>
    </row>
    <row r="718" spans="1:11" x14ac:dyDescent="0.2">
      <c r="A718" s="30" t="s">
        <v>1569</v>
      </c>
      <c r="B718" s="21" t="s">
        <v>2088</v>
      </c>
      <c r="C718" s="21" t="s">
        <v>1491</v>
      </c>
      <c r="D718" s="21">
        <v>2010</v>
      </c>
      <c r="E718" s="21" t="s">
        <v>925</v>
      </c>
      <c r="F718" s="21" t="s">
        <v>56</v>
      </c>
      <c r="G718" s="21" t="str">
        <f>HYPERLINK("http://dx.doi.org/10.1016/j.enpol.2010.09.006","http://dx.doi.org/10.1016/j.enpol.2010.09.006")</f>
        <v>http://dx.doi.org/10.1016/j.enpol.2010.09.006</v>
      </c>
      <c r="H718" s="21" t="s">
        <v>2825</v>
      </c>
      <c r="I718" s="21" t="s">
        <v>2209</v>
      </c>
      <c r="J718" s="21" t="s">
        <v>2870</v>
      </c>
      <c r="K718" s="20" t="s">
        <v>0</v>
      </c>
    </row>
    <row r="719" spans="1:11" x14ac:dyDescent="0.2">
      <c r="A719" s="30" t="s">
        <v>2821</v>
      </c>
      <c r="B719" s="21" t="s">
        <v>263</v>
      </c>
      <c r="C719" s="21" t="s">
        <v>264</v>
      </c>
      <c r="D719" s="21">
        <v>2022</v>
      </c>
      <c r="E719" s="21" t="s">
        <v>928</v>
      </c>
      <c r="F719" s="21" t="s">
        <v>265</v>
      </c>
      <c r="G719" s="21" t="str">
        <f>HYPERLINK("http://dx.doi.org/10.1016/j.scp.2021.100589","http://dx.doi.org/10.1016/j.scp.2021.100589")</f>
        <v>http://dx.doi.org/10.1016/j.scp.2021.100589</v>
      </c>
      <c r="H719" s="21" t="s">
        <v>2826</v>
      </c>
      <c r="I719" s="21" t="s">
        <v>2833</v>
      </c>
      <c r="J719" s="21" t="s">
        <v>2827</v>
      </c>
      <c r="K719" s="20" t="s">
        <v>0</v>
      </c>
    </row>
    <row r="720" spans="1:11" x14ac:dyDescent="0.2">
      <c r="A720" s="30" t="s">
        <v>1569</v>
      </c>
      <c r="B720" s="21" t="s">
        <v>1744</v>
      </c>
      <c r="C720" s="21" t="s">
        <v>1492</v>
      </c>
      <c r="D720" s="21">
        <v>2018</v>
      </c>
      <c r="E720" s="21" t="s">
        <v>929</v>
      </c>
      <c r="F720" s="21" t="s">
        <v>1745</v>
      </c>
      <c r="G720" s="21" t="str">
        <f>HYPERLINK("http://dx.doi.org/10.1007/s40831-018-0198-9","http://dx.doi.org/10.1007/s40831-018-0198-9")</f>
        <v>http://dx.doi.org/10.1007/s40831-018-0198-9</v>
      </c>
      <c r="H720" s="21" t="s">
        <v>2826</v>
      </c>
      <c r="I720" s="21" t="s">
        <v>2835</v>
      </c>
      <c r="J720" s="21" t="s">
        <v>2218</v>
      </c>
      <c r="K720" s="20" t="s">
        <v>0</v>
      </c>
    </row>
    <row r="721" spans="1:11" x14ac:dyDescent="0.2">
      <c r="A721" s="30" t="s">
        <v>2822</v>
      </c>
      <c r="B721" s="21" t="s">
        <v>182</v>
      </c>
      <c r="C721" s="21" t="s">
        <v>183</v>
      </c>
      <c r="D721" s="21">
        <v>2024</v>
      </c>
      <c r="E721" s="21" t="s">
        <v>925</v>
      </c>
      <c r="F721" s="21" t="s">
        <v>144</v>
      </c>
      <c r="G721" s="21" t="str">
        <f>HYPERLINK("http://dx.doi.org/10.1016/j.jclepro.2024.144158","http://dx.doi.org/10.1016/j.jclepro.2024.144158")</f>
        <v>http://dx.doi.org/10.1016/j.jclepro.2024.144158</v>
      </c>
      <c r="H721" s="21" t="s">
        <v>1230</v>
      </c>
      <c r="I721" s="21" t="s">
        <v>2262</v>
      </c>
      <c r="J721" s="21" t="s">
        <v>2262</v>
      </c>
      <c r="K721" s="20" t="s">
        <v>0</v>
      </c>
    </row>
    <row r="722" spans="1:11" x14ac:dyDescent="0.2">
      <c r="A722" s="30" t="s">
        <v>2821</v>
      </c>
      <c r="B722" s="21" t="s">
        <v>458</v>
      </c>
      <c r="C722" s="21" t="s">
        <v>459</v>
      </c>
      <c r="D722" s="21">
        <v>2021</v>
      </c>
      <c r="E722" s="21" t="s">
        <v>41</v>
      </c>
      <c r="F722" s="21" t="s">
        <v>90</v>
      </c>
      <c r="G722" s="21" t="str">
        <f>HYPERLINK("http://dx.doi.org/10.3390/en14092527","http://dx.doi.org/10.3390/en14092527")</f>
        <v>http://dx.doi.org/10.3390/en14092527</v>
      </c>
      <c r="H722" s="21" t="s">
        <v>2825</v>
      </c>
      <c r="I722" s="21" t="s">
        <v>2834</v>
      </c>
      <c r="J722" s="21" t="s">
        <v>2210</v>
      </c>
      <c r="K722" s="20" t="s">
        <v>0</v>
      </c>
    </row>
    <row r="723" spans="1:11" x14ac:dyDescent="0.2">
      <c r="A723" s="30" t="s">
        <v>2821</v>
      </c>
      <c r="B723" s="21" t="s">
        <v>277</v>
      </c>
      <c r="C723" s="21" t="s">
        <v>278</v>
      </c>
      <c r="D723" s="21">
        <v>2024</v>
      </c>
      <c r="E723" s="21" t="s">
        <v>942</v>
      </c>
      <c r="F723" s="21" t="s">
        <v>279</v>
      </c>
      <c r="G723" s="21" t="str">
        <f>HYPERLINK("http://dx.doi.org/10.1002/cssc.202401239","http://dx.doi.org/10.1002/cssc.202401239")</f>
        <v>http://dx.doi.org/10.1002/cssc.202401239</v>
      </c>
      <c r="H723" s="21" t="s">
        <v>2826</v>
      </c>
      <c r="I723" s="21" t="s">
        <v>2835</v>
      </c>
      <c r="J723" s="21" t="s">
        <v>2218</v>
      </c>
      <c r="K723" s="20" t="s">
        <v>0</v>
      </c>
    </row>
    <row r="724" spans="1:11" x14ac:dyDescent="0.2">
      <c r="A724" s="30" t="s">
        <v>1569</v>
      </c>
      <c r="B724" s="21" t="s">
        <v>1899</v>
      </c>
      <c r="C724" s="21" t="s">
        <v>1636</v>
      </c>
      <c r="D724" s="21">
        <v>2016</v>
      </c>
      <c r="E724" s="21" t="s">
        <v>925</v>
      </c>
      <c r="F724" s="21" t="s">
        <v>144</v>
      </c>
      <c r="G724" s="21" t="str">
        <f>HYPERLINK("http://dx.doi.org/10.1016/j.jclepro.2016.07.195","http://dx.doi.org/10.1016/j.jclepro.2016.07.195")</f>
        <v>http://dx.doi.org/10.1016/j.jclepro.2016.07.195</v>
      </c>
      <c r="H724" s="21" t="s">
        <v>2826</v>
      </c>
      <c r="I724" s="21" t="s">
        <v>2835</v>
      </c>
      <c r="J724" s="21" t="s">
        <v>2218</v>
      </c>
      <c r="K724" s="20" t="s">
        <v>0</v>
      </c>
    </row>
    <row r="725" spans="1:11" x14ac:dyDescent="0.2">
      <c r="A725" s="30" t="s">
        <v>1569</v>
      </c>
      <c r="B725" s="21" t="s">
        <v>1860</v>
      </c>
      <c r="C725" s="21" t="s">
        <v>1632</v>
      </c>
      <c r="D725" s="21">
        <v>2017</v>
      </c>
      <c r="E725" s="21" t="s">
        <v>925</v>
      </c>
      <c r="F725" s="21" t="s">
        <v>144</v>
      </c>
      <c r="G725" s="21" t="str">
        <f>HYPERLINK("http://dx.doi.org/10.1016/j.jclepro.2017.02.022","http://dx.doi.org/10.1016/j.jclepro.2017.02.022")</f>
        <v>http://dx.doi.org/10.1016/j.jclepro.2017.02.022</v>
      </c>
      <c r="H725" s="21" t="s">
        <v>2826</v>
      </c>
      <c r="I725" s="21" t="s">
        <v>2835</v>
      </c>
      <c r="J725" s="21" t="s">
        <v>2218</v>
      </c>
      <c r="K725" s="20" t="s">
        <v>0</v>
      </c>
    </row>
    <row r="726" spans="1:11" x14ac:dyDescent="0.2">
      <c r="A726" s="30" t="s">
        <v>1569</v>
      </c>
      <c r="B726" s="21" t="s">
        <v>1914</v>
      </c>
      <c r="C726" s="21" t="s">
        <v>1641</v>
      </c>
      <c r="D726" s="21">
        <v>2016</v>
      </c>
      <c r="E726" s="21" t="s">
        <v>928</v>
      </c>
      <c r="F726" s="21" t="s">
        <v>197</v>
      </c>
      <c r="G726" s="21" t="str">
        <f>HYPERLINK("http://dx.doi.org/10.1016/j.scitotenv.2016.04.010","http://dx.doi.org/10.1016/j.scitotenv.2016.04.010")</f>
        <v>http://dx.doi.org/10.1016/j.scitotenv.2016.04.010</v>
      </c>
      <c r="H726" s="21" t="s">
        <v>2826</v>
      </c>
      <c r="I726" s="21" t="s">
        <v>2832</v>
      </c>
      <c r="J726" s="21" t="s">
        <v>2847</v>
      </c>
      <c r="K726" s="20" t="s">
        <v>0</v>
      </c>
    </row>
    <row r="727" spans="1:11" x14ac:dyDescent="0.2">
      <c r="A727" s="30" t="s">
        <v>2821</v>
      </c>
      <c r="B727" s="21" t="s">
        <v>248</v>
      </c>
      <c r="C727" s="21" t="s">
        <v>249</v>
      </c>
      <c r="D727" s="21">
        <v>2021</v>
      </c>
      <c r="E727" s="21" t="s">
        <v>925</v>
      </c>
      <c r="F727" s="21" t="s">
        <v>144</v>
      </c>
      <c r="G727" s="21" t="str">
        <f>HYPERLINK("http://dx.doi.org/10.1016/j.jclepro.2020.124400","http://dx.doi.org/10.1016/j.jclepro.2020.124400")</f>
        <v>http://dx.doi.org/10.1016/j.jclepro.2020.124400</v>
      </c>
      <c r="H727" s="21" t="s">
        <v>2825</v>
      </c>
      <c r="I727" s="21" t="s">
        <v>2832</v>
      </c>
      <c r="J727" s="21" t="s">
        <v>2860</v>
      </c>
      <c r="K727" s="20" t="s">
        <v>0</v>
      </c>
    </row>
    <row r="728" spans="1:11" x14ac:dyDescent="0.2">
      <c r="A728" s="30" t="s">
        <v>2821</v>
      </c>
      <c r="B728" s="21" t="s">
        <v>938</v>
      </c>
      <c r="C728" s="21" t="s">
        <v>939</v>
      </c>
      <c r="D728" s="21">
        <v>2020</v>
      </c>
      <c r="E728" s="21" t="s">
        <v>928</v>
      </c>
      <c r="F728" s="21" t="s">
        <v>940</v>
      </c>
      <c r="G728" s="21" t="str">
        <f>HYPERLINK("http://dx.doi.org/10.1016/j.dib.2020.106487","http://dx.doi.org/10.1016/j.dib.2020.106487")</f>
        <v>http://dx.doi.org/10.1016/j.dib.2020.106487</v>
      </c>
      <c r="H728" s="21" t="s">
        <v>2825</v>
      </c>
      <c r="I728" s="21" t="s">
        <v>2832</v>
      </c>
      <c r="J728" s="21" t="s">
        <v>2244</v>
      </c>
      <c r="K728" s="20" t="s">
        <v>0</v>
      </c>
    </row>
    <row r="729" spans="1:11" x14ac:dyDescent="0.2">
      <c r="A729" s="30" t="s">
        <v>1569</v>
      </c>
      <c r="B729" s="21" t="s">
        <v>1847</v>
      </c>
      <c r="C729" s="21" t="s">
        <v>1493</v>
      </c>
      <c r="D729" s="21">
        <v>2017</v>
      </c>
      <c r="E729" s="21" t="s">
        <v>41</v>
      </c>
      <c r="F729" s="21" t="s">
        <v>90</v>
      </c>
      <c r="G729" s="21" t="str">
        <f>HYPERLINK("http://dx.doi.org/10.3390/en10091445","http://dx.doi.org/10.3390/en10091445")</f>
        <v>http://dx.doi.org/10.3390/en10091445</v>
      </c>
      <c r="H729" s="21" t="s">
        <v>2826</v>
      </c>
      <c r="I729" s="21" t="s">
        <v>2835</v>
      </c>
      <c r="J729" s="21" t="s">
        <v>2218</v>
      </c>
      <c r="K729" s="20" t="s">
        <v>0</v>
      </c>
    </row>
    <row r="730" spans="1:11" x14ac:dyDescent="0.2">
      <c r="A730" s="30" t="s">
        <v>1569</v>
      </c>
      <c r="B730" s="21" t="s">
        <v>1814</v>
      </c>
      <c r="C730" s="21" t="s">
        <v>1494</v>
      </c>
      <c r="D730" s="21">
        <v>2017</v>
      </c>
      <c r="E730" s="21" t="s">
        <v>928</v>
      </c>
      <c r="F730" s="21" t="s">
        <v>197</v>
      </c>
      <c r="G730" s="21" t="str">
        <f>HYPERLINK("http://dx.doi.org/10.1016/j.scitotenv.2017.07.150","http://dx.doi.org/10.1016/j.scitotenv.2017.07.150")</f>
        <v>http://dx.doi.org/10.1016/j.scitotenv.2017.07.150</v>
      </c>
      <c r="H730" s="21" t="s">
        <v>2825</v>
      </c>
      <c r="I730" s="21" t="s">
        <v>2835</v>
      </c>
      <c r="J730" s="21" t="s">
        <v>2218</v>
      </c>
      <c r="K730" s="20" t="s">
        <v>0</v>
      </c>
    </row>
    <row r="731" spans="1:11" x14ac:dyDescent="0.2">
      <c r="A731" s="30" t="s">
        <v>1569</v>
      </c>
      <c r="B731" s="21" t="s">
        <v>1799</v>
      </c>
      <c r="C731" s="21" t="s">
        <v>1495</v>
      </c>
      <c r="D731" s="21">
        <v>2018</v>
      </c>
      <c r="E731" s="21" t="s">
        <v>923</v>
      </c>
      <c r="F731" s="21" t="s">
        <v>1800</v>
      </c>
      <c r="G731" s="21" t="str">
        <f>HYPERLINK("http://dx.doi.org/10.1002/ep.12708","http://dx.doi.org/10.1002/ep.12708")</f>
        <v>http://dx.doi.org/10.1002/ep.12708</v>
      </c>
      <c r="H731" s="21" t="s">
        <v>2826</v>
      </c>
      <c r="I731" s="21" t="s">
        <v>2835</v>
      </c>
      <c r="J731" s="21" t="s">
        <v>2218</v>
      </c>
      <c r="K731" s="20" t="s">
        <v>0</v>
      </c>
    </row>
    <row r="732" spans="1:11" x14ac:dyDescent="0.2">
      <c r="A732" s="30" t="s">
        <v>1569</v>
      </c>
      <c r="B732" s="21" t="s">
        <v>1892</v>
      </c>
      <c r="C732" s="21" t="s">
        <v>1496</v>
      </c>
      <c r="D732" s="21">
        <v>2017</v>
      </c>
      <c r="E732" s="21" t="s">
        <v>928</v>
      </c>
      <c r="F732" s="21" t="s">
        <v>197</v>
      </c>
      <c r="G732" s="21" t="str">
        <f>HYPERLINK("http://dx.doi.org/10.1016/j.scitotenv.2016.09.136","http://dx.doi.org/10.1016/j.scitotenv.2016.09.136")</f>
        <v>http://dx.doi.org/10.1016/j.scitotenv.2016.09.136</v>
      </c>
      <c r="H732" s="21" t="s">
        <v>2826</v>
      </c>
      <c r="I732" s="21" t="s">
        <v>2835</v>
      </c>
      <c r="J732" s="21" t="s">
        <v>2214</v>
      </c>
      <c r="K732" s="20" t="s">
        <v>0</v>
      </c>
    </row>
    <row r="733" spans="1:11" x14ac:dyDescent="0.2">
      <c r="A733" s="30" t="s">
        <v>1569</v>
      </c>
      <c r="B733" s="21" t="s">
        <v>1760</v>
      </c>
      <c r="C733" s="21" t="s">
        <v>1497</v>
      </c>
      <c r="D733" s="21">
        <v>2018</v>
      </c>
      <c r="E733" s="21" t="s">
        <v>950</v>
      </c>
      <c r="F733" s="21" t="s">
        <v>534</v>
      </c>
      <c r="G733" s="21" t="str">
        <f>HYPERLINK("http://dx.doi.org/10.1016/j.jenvman.2018.06.074","http://dx.doi.org/10.1016/j.jenvman.2018.06.074")</f>
        <v>http://dx.doi.org/10.1016/j.jenvman.2018.06.074</v>
      </c>
      <c r="H733" s="21" t="s">
        <v>2826</v>
      </c>
      <c r="I733" s="21" t="s">
        <v>2835</v>
      </c>
      <c r="J733" s="21" t="s">
        <v>2218</v>
      </c>
      <c r="K733" s="20" t="s">
        <v>0</v>
      </c>
    </row>
    <row r="734" spans="1:11" x14ac:dyDescent="0.2">
      <c r="A734" s="30" t="s">
        <v>2821</v>
      </c>
      <c r="B734" s="21" t="s">
        <v>2263</v>
      </c>
      <c r="C734" s="21" t="s">
        <v>2264</v>
      </c>
      <c r="D734" s="21">
        <v>2025</v>
      </c>
      <c r="E734" s="21" t="s">
        <v>1034</v>
      </c>
      <c r="F734" s="21" t="s">
        <v>1117</v>
      </c>
      <c r="G734" s="21" t="str">
        <f>HYPERLINK("http://dx.doi.org/10.1080/17597269.2025.2450156","http://dx.doi.org/10.1080/17597269.2025.2450156")</f>
        <v>http://dx.doi.org/10.1080/17597269.2025.2450156</v>
      </c>
      <c r="H734" s="21" t="s">
        <v>2826</v>
      </c>
      <c r="I734" s="21" t="s">
        <v>2900</v>
      </c>
      <c r="J734" s="21" t="s">
        <v>2828</v>
      </c>
      <c r="K734" s="20" t="s">
        <v>0</v>
      </c>
    </row>
    <row r="735" spans="1:11" x14ac:dyDescent="0.2">
      <c r="A735" s="30" t="s">
        <v>2821</v>
      </c>
      <c r="B735" s="21" t="s">
        <v>504</v>
      </c>
      <c r="C735" s="21" t="s">
        <v>505</v>
      </c>
      <c r="D735" s="21">
        <v>2024</v>
      </c>
      <c r="E735" s="21" t="s">
        <v>925</v>
      </c>
      <c r="F735" s="21" t="s">
        <v>506</v>
      </c>
      <c r="G735" s="21" t="str">
        <f>HYPERLINK("http://dx.doi.org/10.1016/j.polymer.2024.127342","http://dx.doi.org/10.1016/j.polymer.2024.127342")</f>
        <v>http://dx.doi.org/10.1016/j.polymer.2024.127342</v>
      </c>
      <c r="H735" s="21" t="s">
        <v>2826</v>
      </c>
      <c r="I735" s="21" t="s">
        <v>2836</v>
      </c>
      <c r="J735" s="21" t="s">
        <v>2830</v>
      </c>
      <c r="K735" s="20" t="s">
        <v>0</v>
      </c>
    </row>
    <row r="736" spans="1:11" x14ac:dyDescent="0.2">
      <c r="A736" s="30" t="s">
        <v>2821</v>
      </c>
      <c r="B736" s="21" t="s">
        <v>584</v>
      </c>
      <c r="C736" s="21" t="s">
        <v>585</v>
      </c>
      <c r="D736" s="21">
        <v>2024</v>
      </c>
      <c r="E736" s="21" t="s">
        <v>929</v>
      </c>
      <c r="F736" s="21" t="s">
        <v>586</v>
      </c>
      <c r="G736" s="21" t="str">
        <f>HYPERLINK("http://dx.doi.org/10.1007/s10526-024-10269-y","http://dx.doi.org/10.1007/s10526-024-10269-y")</f>
        <v>http://dx.doi.org/10.1007/s10526-024-10269-y</v>
      </c>
      <c r="H736" s="21" t="s">
        <v>2826</v>
      </c>
      <c r="I736" s="21" t="s">
        <v>2836</v>
      </c>
      <c r="J736" s="21" t="s">
        <v>2830</v>
      </c>
      <c r="K736" s="20" t="s">
        <v>0</v>
      </c>
    </row>
    <row r="737" spans="1:11" x14ac:dyDescent="0.2">
      <c r="A737" s="30" t="s">
        <v>2821</v>
      </c>
      <c r="B737" s="21" t="s">
        <v>603</v>
      </c>
      <c r="C737" s="21" t="s">
        <v>604</v>
      </c>
      <c r="D737" s="21">
        <v>2024</v>
      </c>
      <c r="E737" s="21" t="s">
        <v>928</v>
      </c>
      <c r="F737" s="21" t="s">
        <v>133</v>
      </c>
      <c r="G737" s="21" t="str">
        <f>HYPERLINK("http://dx.doi.org/10.1016/j.jobe.2024.109650","http://dx.doi.org/10.1016/j.jobe.2024.109650")</f>
        <v>http://dx.doi.org/10.1016/j.jobe.2024.109650</v>
      </c>
      <c r="H737" s="21" t="s">
        <v>2826</v>
      </c>
      <c r="I737" s="21" t="s">
        <v>2832</v>
      </c>
      <c r="J737" s="21" t="s">
        <v>2213</v>
      </c>
      <c r="K737" s="20" t="s">
        <v>0</v>
      </c>
    </row>
    <row r="738" spans="1:11" x14ac:dyDescent="0.2">
      <c r="A738" s="30" t="s">
        <v>1569</v>
      </c>
      <c r="B738" s="21" t="s">
        <v>1698</v>
      </c>
      <c r="C738" s="21" t="s">
        <v>1585</v>
      </c>
      <c r="D738" s="21">
        <v>2019</v>
      </c>
      <c r="E738" s="21" t="s">
        <v>925</v>
      </c>
      <c r="F738" s="21" t="s">
        <v>144</v>
      </c>
      <c r="G738" s="21" t="str">
        <f>HYPERLINK("http://dx.doi.org/10.1016/j.jclepro.2019.04.301","http://dx.doi.org/10.1016/j.jclepro.2019.04.301")</f>
        <v>http://dx.doi.org/10.1016/j.jclepro.2019.04.301</v>
      </c>
      <c r="H738" s="21" t="s">
        <v>2825</v>
      </c>
      <c r="I738" s="21" t="s">
        <v>2833</v>
      </c>
      <c r="J738" s="21" t="s">
        <v>2827</v>
      </c>
      <c r="K738" s="20" t="s">
        <v>0</v>
      </c>
    </row>
    <row r="739" spans="1:11" x14ac:dyDescent="0.2">
      <c r="A739" s="30" t="s">
        <v>1569</v>
      </c>
      <c r="B739" s="21" t="s">
        <v>2183</v>
      </c>
      <c r="C739" s="21" t="s">
        <v>1498</v>
      </c>
      <c r="D739" s="21">
        <v>2005</v>
      </c>
      <c r="E739" s="21" t="s">
        <v>2823</v>
      </c>
      <c r="F739" s="21" t="s">
        <v>2184</v>
      </c>
      <c r="G739" s="21" t="s">
        <v>2141</v>
      </c>
      <c r="H739" s="21" t="s">
        <v>2826</v>
      </c>
      <c r="I739" s="21" t="s">
        <v>2836</v>
      </c>
      <c r="J739" s="21" t="s">
        <v>2830</v>
      </c>
      <c r="K739" s="20" t="s">
        <v>0</v>
      </c>
    </row>
    <row r="740" spans="1:11" x14ac:dyDescent="0.2">
      <c r="A740" s="30" t="s">
        <v>2821</v>
      </c>
      <c r="B740" s="21" t="s">
        <v>2361</v>
      </c>
      <c r="C740" s="21" t="s">
        <v>2360</v>
      </c>
      <c r="D740" s="21">
        <v>2025</v>
      </c>
      <c r="E740" s="21" t="s">
        <v>924</v>
      </c>
      <c r="F740" s="21" t="s">
        <v>175</v>
      </c>
      <c r="G740" s="21" t="str">
        <f>HYPERLINK("http://dx.doi.org/10.1021/acssuschemeng.5c01290","http://dx.doi.org/10.1021/acssuschemeng.5c01290")</f>
        <v>http://dx.doi.org/10.1021/acssuschemeng.5c01290</v>
      </c>
      <c r="H740" s="21" t="s">
        <v>1230</v>
      </c>
      <c r="I740" s="21" t="s">
        <v>2262</v>
      </c>
      <c r="J740" s="21" t="s">
        <v>2262</v>
      </c>
      <c r="K740" s="20" t="s">
        <v>0</v>
      </c>
    </row>
    <row r="741" spans="1:11" x14ac:dyDescent="0.2">
      <c r="A741" s="30" t="s">
        <v>2820</v>
      </c>
      <c r="B741" s="21" t="s">
        <v>1204</v>
      </c>
      <c r="C741" s="21" t="s">
        <v>105</v>
      </c>
      <c r="D741" s="21">
        <v>2021</v>
      </c>
      <c r="E741" s="21" t="s">
        <v>928</v>
      </c>
      <c r="F741" s="21" t="s">
        <v>173</v>
      </c>
      <c r="G741" s="21" t="str">
        <f>HYPERLINK("http://dx.doi.org/10.1016/j.spc.2021.01.011","http://dx.doi.org/10.1016/j.spc.2021.01.011")</f>
        <v>http://dx.doi.org/10.1016/j.spc.2021.01.011</v>
      </c>
      <c r="H741" s="21" t="s">
        <v>1230</v>
      </c>
      <c r="I741" s="21" t="s">
        <v>2262</v>
      </c>
      <c r="J741" s="21" t="s">
        <v>2262</v>
      </c>
      <c r="K741" s="20" t="s">
        <v>0</v>
      </c>
    </row>
    <row r="742" spans="1:11" x14ac:dyDescent="0.2">
      <c r="A742" s="30" t="s">
        <v>1569</v>
      </c>
      <c r="B742" s="21" t="s">
        <v>2081</v>
      </c>
      <c r="C742" s="21" t="s">
        <v>1660</v>
      </c>
      <c r="D742" s="21">
        <v>2011</v>
      </c>
      <c r="E742" s="21" t="s">
        <v>924</v>
      </c>
      <c r="F742" s="21" t="s">
        <v>357</v>
      </c>
      <c r="G742" s="21" t="str">
        <f>HYPERLINK("http://dx.doi.org/10.1021/es1040915","http://dx.doi.org/10.1021/es1040915")</f>
        <v>http://dx.doi.org/10.1021/es1040915</v>
      </c>
      <c r="H742" s="21" t="s">
        <v>2826</v>
      </c>
      <c r="I742" s="21" t="s">
        <v>2832</v>
      </c>
      <c r="J742" s="21" t="s">
        <v>2847</v>
      </c>
      <c r="K742" s="20" t="s">
        <v>0</v>
      </c>
    </row>
    <row r="743" spans="1:11" x14ac:dyDescent="0.2">
      <c r="A743" s="30" t="s">
        <v>1569</v>
      </c>
      <c r="B743" s="21" t="s">
        <v>2070</v>
      </c>
      <c r="C743" s="21" t="s">
        <v>1499</v>
      </c>
      <c r="D743" s="21">
        <v>2011</v>
      </c>
      <c r="E743" s="21" t="s">
        <v>931</v>
      </c>
      <c r="F743" s="21" t="s">
        <v>138</v>
      </c>
      <c r="G743" s="21" t="str">
        <f>HYPERLINK("http://dx.doi.org/10.1016/j.ijhydene.2011.07.023","http://dx.doi.org/10.1016/j.ijhydene.2011.07.023")</f>
        <v>http://dx.doi.org/10.1016/j.ijhydene.2011.07.023</v>
      </c>
      <c r="H743" s="21" t="s">
        <v>2825</v>
      </c>
      <c r="I743" s="21" t="s">
        <v>2833</v>
      </c>
      <c r="J743" s="21" t="s">
        <v>2827</v>
      </c>
      <c r="K743" s="20" t="s">
        <v>0</v>
      </c>
    </row>
    <row r="744" spans="1:11" x14ac:dyDescent="0.2">
      <c r="A744" s="30" t="s">
        <v>2821</v>
      </c>
      <c r="B744" s="21" t="s">
        <v>210</v>
      </c>
      <c r="C744" s="21" t="s">
        <v>211</v>
      </c>
      <c r="D744" s="21">
        <v>2023</v>
      </c>
      <c r="E744" s="21" t="s">
        <v>923</v>
      </c>
      <c r="F744" s="21" t="s">
        <v>127</v>
      </c>
      <c r="G744" s="21" t="str">
        <f>HYPERLINK("http://dx.doi.org/10.1111/jiec.13413","http://dx.doi.org/10.1111/jiec.13413")</f>
        <v>http://dx.doi.org/10.1111/jiec.13413</v>
      </c>
      <c r="H744" s="21" t="s">
        <v>2826</v>
      </c>
      <c r="I744" s="21" t="s">
        <v>2835</v>
      </c>
      <c r="J744" s="21" t="s">
        <v>2218</v>
      </c>
      <c r="K744" s="20" t="s">
        <v>0</v>
      </c>
    </row>
    <row r="745" spans="1:11" x14ac:dyDescent="0.2">
      <c r="A745" s="30" t="s">
        <v>2821</v>
      </c>
      <c r="B745" s="21" t="s">
        <v>2278</v>
      </c>
      <c r="C745" s="21" t="s">
        <v>2248</v>
      </c>
      <c r="D745" s="21">
        <v>2025</v>
      </c>
      <c r="E745" s="21" t="s">
        <v>931</v>
      </c>
      <c r="F745" s="21" t="s">
        <v>306</v>
      </c>
      <c r="G745" s="21" t="str">
        <f>HYPERLINK("http://dx.doi.org/10.1016/j.rser.2024.115298","http://dx.doi.org/10.1016/j.rser.2024.115298")</f>
        <v>http://dx.doi.org/10.1016/j.rser.2024.115298</v>
      </c>
      <c r="H745" s="21" t="s">
        <v>2825</v>
      </c>
      <c r="I745" s="21" t="s">
        <v>2835</v>
      </c>
      <c r="J745" s="21" t="s">
        <v>2218</v>
      </c>
      <c r="K745" s="20" t="s">
        <v>0</v>
      </c>
    </row>
    <row r="746" spans="1:11" x14ac:dyDescent="0.2">
      <c r="A746" s="30" t="s">
        <v>1569</v>
      </c>
      <c r="B746" s="21" t="s">
        <v>1962</v>
      </c>
      <c r="C746" s="21" t="s">
        <v>1500</v>
      </c>
      <c r="D746" s="21">
        <v>2015</v>
      </c>
      <c r="E746" s="21" t="s">
        <v>925</v>
      </c>
      <c r="F746" s="21" t="s">
        <v>167</v>
      </c>
      <c r="G746" s="21" t="str">
        <f>HYPERLINK("http://dx.doi.org/10.1016/j.apenergy.2015.02.049","http://dx.doi.org/10.1016/j.apenergy.2015.02.049")</f>
        <v>http://dx.doi.org/10.1016/j.apenergy.2015.02.049</v>
      </c>
      <c r="H746" s="21" t="s">
        <v>2826</v>
      </c>
      <c r="I746" s="21" t="s">
        <v>2835</v>
      </c>
      <c r="J746" s="21" t="s">
        <v>2218</v>
      </c>
      <c r="K746" s="20" t="s">
        <v>0</v>
      </c>
    </row>
    <row r="747" spans="1:11" x14ac:dyDescent="0.2">
      <c r="A747" s="30" t="s">
        <v>1569</v>
      </c>
      <c r="B747" s="21" t="s">
        <v>2054</v>
      </c>
      <c r="C747" s="21" t="s">
        <v>1501</v>
      </c>
      <c r="D747" s="21">
        <v>2012</v>
      </c>
      <c r="E747" s="21" t="s">
        <v>931</v>
      </c>
      <c r="F747" s="21" t="s">
        <v>43</v>
      </c>
      <c r="G747" s="21" t="str">
        <f>HYPERLINK("http://dx.doi.org/10.1016/j.energy.2012.07.014","http://dx.doi.org/10.1016/j.energy.2012.07.014")</f>
        <v>http://dx.doi.org/10.1016/j.energy.2012.07.014</v>
      </c>
      <c r="H747" s="21" t="s">
        <v>1230</v>
      </c>
      <c r="I747" s="21" t="s">
        <v>2262</v>
      </c>
      <c r="J747" s="21" t="s">
        <v>2262</v>
      </c>
      <c r="K747" s="20" t="s">
        <v>0</v>
      </c>
    </row>
    <row r="748" spans="1:11" x14ac:dyDescent="0.2">
      <c r="A748" s="30" t="s">
        <v>1569</v>
      </c>
      <c r="B748" s="21" t="s">
        <v>1739</v>
      </c>
      <c r="C748" s="21" t="s">
        <v>1619</v>
      </c>
      <c r="D748" s="21">
        <v>2019</v>
      </c>
      <c r="E748" s="21" t="s">
        <v>931</v>
      </c>
      <c r="F748" s="21" t="s">
        <v>306</v>
      </c>
      <c r="G748" s="21" t="str">
        <f>HYPERLINK("http://dx.doi.org/10.1016/j.rser.2018.09.040","http://dx.doi.org/10.1016/j.rser.2018.09.040")</f>
        <v>http://dx.doi.org/10.1016/j.rser.2018.09.040</v>
      </c>
      <c r="H748" s="21" t="s">
        <v>2826</v>
      </c>
      <c r="I748" s="21" t="s">
        <v>2900</v>
      </c>
      <c r="J748" s="21" t="s">
        <v>2828</v>
      </c>
      <c r="K748" s="20" t="s">
        <v>0</v>
      </c>
    </row>
    <row r="749" spans="1:11" x14ac:dyDescent="0.2">
      <c r="A749" s="30" t="s">
        <v>2821</v>
      </c>
      <c r="B749" s="21" t="s">
        <v>796</v>
      </c>
      <c r="C749" s="21" t="s">
        <v>797</v>
      </c>
      <c r="D749" s="21">
        <v>2020</v>
      </c>
      <c r="E749" s="21" t="s">
        <v>925</v>
      </c>
      <c r="F749" s="21" t="s">
        <v>798</v>
      </c>
      <c r="G749" s="21" t="str">
        <f>HYPERLINK("http://dx.doi.org/10.1016/S2213-2600(19)30369-8","http://dx.doi.org/10.1016/S2213-2600(19)30369-8")</f>
        <v>http://dx.doi.org/10.1016/S2213-2600(19)30369-8</v>
      </c>
      <c r="H749" s="21" t="s">
        <v>2826</v>
      </c>
      <c r="I749" s="21" t="s">
        <v>2836</v>
      </c>
      <c r="J749" s="21" t="s">
        <v>2830</v>
      </c>
      <c r="K749" s="20" t="s">
        <v>0</v>
      </c>
    </row>
    <row r="750" spans="1:11" x14ac:dyDescent="0.2">
      <c r="A750" s="30" t="s">
        <v>1569</v>
      </c>
      <c r="B750" s="21" t="s">
        <v>1719</v>
      </c>
      <c r="C750" s="21" t="s">
        <v>1604</v>
      </c>
      <c r="D750" s="21">
        <v>2019</v>
      </c>
      <c r="E750" s="21" t="s">
        <v>995</v>
      </c>
      <c r="F750" s="21" t="s">
        <v>213</v>
      </c>
      <c r="G750" s="21" t="str">
        <f>HYPERLINK("http://dx.doi.org/10.1016/j.resconrec.2019.01.042","http://dx.doi.org/10.1016/j.resconrec.2019.01.042")</f>
        <v>http://dx.doi.org/10.1016/j.resconrec.2019.01.042</v>
      </c>
      <c r="H750" s="21" t="s">
        <v>2826</v>
      </c>
      <c r="I750" s="21" t="s">
        <v>2835</v>
      </c>
      <c r="J750" s="21" t="s">
        <v>2218</v>
      </c>
      <c r="K750" s="20" t="s">
        <v>0</v>
      </c>
    </row>
    <row r="751" spans="1:11" x14ac:dyDescent="0.2">
      <c r="A751" s="30" t="s">
        <v>1569</v>
      </c>
      <c r="B751" s="21" t="s">
        <v>1708</v>
      </c>
      <c r="C751" s="21" t="s">
        <v>1594</v>
      </c>
      <c r="D751" s="21">
        <v>2019</v>
      </c>
      <c r="E751" s="21" t="s">
        <v>924</v>
      </c>
      <c r="F751" s="21" t="s">
        <v>175</v>
      </c>
      <c r="G751" s="21" t="str">
        <f>HYPERLINK("http://dx.doi.org/10.1021/acssuschemeng.9b01961","http://dx.doi.org/10.1021/acssuschemeng.9b01961")</f>
        <v>http://dx.doi.org/10.1021/acssuschemeng.9b01961</v>
      </c>
      <c r="H751" s="21" t="s">
        <v>2826</v>
      </c>
      <c r="I751" s="21" t="s">
        <v>2835</v>
      </c>
      <c r="J751" s="21" t="s">
        <v>2218</v>
      </c>
      <c r="K751" s="20" t="s">
        <v>0</v>
      </c>
    </row>
    <row r="752" spans="1:11" x14ac:dyDescent="0.2">
      <c r="A752" s="30" t="s">
        <v>1569</v>
      </c>
      <c r="B752" s="21" t="s">
        <v>1819</v>
      </c>
      <c r="C752" s="21" t="s">
        <v>1502</v>
      </c>
      <c r="D752" s="21">
        <v>2017</v>
      </c>
      <c r="E752" s="21" t="s">
        <v>923</v>
      </c>
      <c r="F752" s="21" t="s">
        <v>1114</v>
      </c>
      <c r="G752" s="21" t="str">
        <f>HYPERLINK("http://dx.doi.org/10.1111/gcbb.12467","http://dx.doi.org/10.1111/gcbb.12467")</f>
        <v>http://dx.doi.org/10.1111/gcbb.12467</v>
      </c>
      <c r="H752" s="21" t="s">
        <v>2825</v>
      </c>
      <c r="I752" s="21" t="s">
        <v>2835</v>
      </c>
      <c r="J752" s="21" t="s">
        <v>2218</v>
      </c>
      <c r="K752" s="20" t="s">
        <v>0</v>
      </c>
    </row>
    <row r="753" spans="1:11" x14ac:dyDescent="0.2">
      <c r="A753" s="30" t="s">
        <v>2820</v>
      </c>
      <c r="B753" s="21" t="s">
        <v>2303</v>
      </c>
      <c r="C753" s="21" t="s">
        <v>2304</v>
      </c>
      <c r="D753" s="21">
        <v>2016</v>
      </c>
      <c r="E753" s="21" t="s">
        <v>2305</v>
      </c>
      <c r="F753" s="21" t="s">
        <v>54</v>
      </c>
      <c r="G753" s="21" t="str">
        <f>HYPERLINK("http://dx.doi.org/10.3390/su8050411","http://dx.doi.org/10.3390/su8050411")</f>
        <v>http://dx.doi.org/10.3390/su8050411</v>
      </c>
      <c r="H753" s="21" t="s">
        <v>1230</v>
      </c>
      <c r="I753" s="21" t="s">
        <v>2262</v>
      </c>
      <c r="J753" s="21" t="s">
        <v>2262</v>
      </c>
      <c r="K753" s="20" t="s">
        <v>0</v>
      </c>
    </row>
    <row r="754" spans="1:11" x14ac:dyDescent="0.2">
      <c r="A754" s="30" t="s">
        <v>1569</v>
      </c>
      <c r="B754" s="21" t="s">
        <v>1214</v>
      </c>
      <c r="C754" s="21" t="s">
        <v>77</v>
      </c>
      <c r="D754" s="21">
        <v>2018</v>
      </c>
      <c r="E754" s="21" t="s">
        <v>923</v>
      </c>
      <c r="F754" s="21" t="s">
        <v>127</v>
      </c>
      <c r="G754" s="21" t="str">
        <f>HYPERLINK("http://dx.doi.org/10.1111/jiec.12640","http://dx.doi.org/10.1111/jiec.12640")</f>
        <v>http://dx.doi.org/10.1111/jiec.12640</v>
      </c>
      <c r="H754" s="21" t="s">
        <v>2825</v>
      </c>
      <c r="I754" s="21" t="s">
        <v>2836</v>
      </c>
      <c r="J754" s="21" t="s">
        <v>2830</v>
      </c>
      <c r="K754" s="20" t="s">
        <v>0</v>
      </c>
    </row>
    <row r="755" spans="1:11" x14ac:dyDescent="0.2">
      <c r="A755" s="30" t="s">
        <v>1569</v>
      </c>
      <c r="B755" s="21" t="s">
        <v>2136</v>
      </c>
      <c r="C755" s="21" t="s">
        <v>1503</v>
      </c>
      <c r="D755" s="21">
        <v>2003</v>
      </c>
      <c r="E755" s="21" t="s">
        <v>925</v>
      </c>
      <c r="F755" s="21" t="s">
        <v>144</v>
      </c>
      <c r="G755" s="21" t="str">
        <f>HYPERLINK("http://dx.doi.org/10.1016/S0959-6526(02)00049-5","http://dx.doi.org/10.1016/S0959-6526(02)00049-5")</f>
        <v>http://dx.doi.org/10.1016/S0959-6526(02)00049-5</v>
      </c>
      <c r="H755" s="21" t="s">
        <v>2826</v>
      </c>
      <c r="I755" s="21" t="s">
        <v>2835</v>
      </c>
      <c r="J755" s="21" t="s">
        <v>2218</v>
      </c>
      <c r="K755" s="20" t="s">
        <v>0</v>
      </c>
    </row>
    <row r="756" spans="1:11" x14ac:dyDescent="0.2">
      <c r="A756" s="30" t="s">
        <v>1569</v>
      </c>
      <c r="B756" s="21" t="s">
        <v>1931</v>
      </c>
      <c r="C756" s="21" t="s">
        <v>1504</v>
      </c>
      <c r="D756" s="21">
        <v>2016</v>
      </c>
      <c r="E756" s="21" t="s">
        <v>926</v>
      </c>
      <c r="F756" s="21" t="s">
        <v>209</v>
      </c>
      <c r="G756" s="21" t="str">
        <f>HYPERLINK("http://dx.doi.org/10.1007/s11367-015-0969-5","http://dx.doi.org/10.1007/s11367-015-0969-5")</f>
        <v>http://dx.doi.org/10.1007/s11367-015-0969-5</v>
      </c>
      <c r="H756" s="21" t="s">
        <v>2826</v>
      </c>
      <c r="I756" s="21" t="s">
        <v>2835</v>
      </c>
      <c r="J756" s="21" t="s">
        <v>2218</v>
      </c>
      <c r="K756" s="20" t="s">
        <v>0</v>
      </c>
    </row>
    <row r="757" spans="1:11" x14ac:dyDescent="0.2">
      <c r="A757" s="30" t="s">
        <v>1569</v>
      </c>
      <c r="B757" s="21" t="s">
        <v>1749</v>
      </c>
      <c r="C757" s="21" t="s">
        <v>1621</v>
      </c>
      <c r="D757" s="21">
        <v>2018</v>
      </c>
      <c r="E757" s="21" t="s">
        <v>925</v>
      </c>
      <c r="F757" s="21" t="s">
        <v>144</v>
      </c>
      <c r="G757" s="21" t="str">
        <f>HYPERLINK("http://dx.doi.org/10.1016/j.jclepro.2018.08.233","http://dx.doi.org/10.1016/j.jclepro.2018.08.233")</f>
        <v>http://dx.doi.org/10.1016/j.jclepro.2018.08.233</v>
      </c>
      <c r="H757" s="21" t="s">
        <v>2825</v>
      </c>
      <c r="I757" s="21" t="s">
        <v>2832</v>
      </c>
      <c r="J757" s="21" t="s">
        <v>2884</v>
      </c>
      <c r="K757" s="20" t="s">
        <v>0</v>
      </c>
    </row>
    <row r="758" spans="1:11" x14ac:dyDescent="0.2">
      <c r="A758" s="30" t="s">
        <v>2820</v>
      </c>
      <c r="B758" s="21" t="s">
        <v>1197</v>
      </c>
      <c r="C758" s="21" t="s">
        <v>1191</v>
      </c>
      <c r="D758" s="21">
        <v>2023</v>
      </c>
      <c r="E758" s="21" t="s">
        <v>933</v>
      </c>
      <c r="F758" s="21" t="s">
        <v>1198</v>
      </c>
      <c r="G758" s="21" t="str">
        <f>HYPERLINK("http://dx.doi.org/10.1038/s41558-023-01782-6","http://dx.doi.org/10.1038/s41558-023-01782-6")</f>
        <v>http://dx.doi.org/10.1038/s41558-023-01782-6</v>
      </c>
      <c r="H758" s="21" t="s">
        <v>1230</v>
      </c>
      <c r="I758" s="21" t="s">
        <v>2262</v>
      </c>
      <c r="J758" s="21" t="s">
        <v>2262</v>
      </c>
      <c r="K758" s="20" t="s">
        <v>0</v>
      </c>
    </row>
    <row r="759" spans="1:11" x14ac:dyDescent="0.2">
      <c r="A759" s="30" t="s">
        <v>1569</v>
      </c>
      <c r="B759" s="21" t="s">
        <v>2190</v>
      </c>
      <c r="C759" s="21" t="s">
        <v>1673</v>
      </c>
      <c r="D759" s="21">
        <v>2018</v>
      </c>
      <c r="E759" s="21" t="s">
        <v>925</v>
      </c>
      <c r="F759" s="21" t="s">
        <v>144</v>
      </c>
      <c r="G759" s="21" t="str">
        <f>HYPERLINK("http://dx.doi.org/10.1016/j.jclepro.2017.11.206","http://dx.doi.org/10.1016/j.jclepro.2017.11.206")</f>
        <v>http://dx.doi.org/10.1016/j.jclepro.2017.11.206</v>
      </c>
      <c r="H759" s="21" t="s">
        <v>2826</v>
      </c>
      <c r="I759" s="21" t="s">
        <v>2835</v>
      </c>
      <c r="J759" s="21" t="s">
        <v>2214</v>
      </c>
      <c r="K759" s="20" t="s">
        <v>0</v>
      </c>
    </row>
    <row r="760" spans="1:11" x14ac:dyDescent="0.2">
      <c r="A760" s="30" t="s">
        <v>1569</v>
      </c>
      <c r="B760" s="21" t="s">
        <v>1712</v>
      </c>
      <c r="C760" s="21" t="s">
        <v>1597</v>
      </c>
      <c r="D760" s="21">
        <v>2019</v>
      </c>
      <c r="E760" s="21" t="s">
        <v>923</v>
      </c>
      <c r="F760" s="21" t="s">
        <v>127</v>
      </c>
      <c r="G760" s="21" t="str">
        <f>HYPERLINK("http://dx.doi.org/10.1111/jiec.12772","http://dx.doi.org/10.1111/jiec.12772")</f>
        <v>http://dx.doi.org/10.1111/jiec.12772</v>
      </c>
      <c r="H760" s="21" t="s">
        <v>2826</v>
      </c>
      <c r="I760" s="21" t="s">
        <v>2835</v>
      </c>
      <c r="J760" s="21" t="s">
        <v>2219</v>
      </c>
      <c r="K760" s="20" t="s">
        <v>0</v>
      </c>
    </row>
    <row r="761" spans="1:11" x14ac:dyDescent="0.2">
      <c r="A761" s="30" t="s">
        <v>2821</v>
      </c>
      <c r="B761" s="21" t="s">
        <v>1113</v>
      </c>
      <c r="C761" s="21" t="s">
        <v>1069</v>
      </c>
      <c r="D761" s="21">
        <v>2020</v>
      </c>
      <c r="E761" s="21" t="s">
        <v>923</v>
      </c>
      <c r="F761" s="21" t="s">
        <v>1114</v>
      </c>
      <c r="G761" s="21" t="str">
        <f>HYPERLINK("http://dx.doi.org/10.1111/gcbb.12658","http://dx.doi.org/10.1111/gcbb.12658")</f>
        <v>http://dx.doi.org/10.1111/gcbb.12658</v>
      </c>
      <c r="H761" s="21" t="s">
        <v>2826</v>
      </c>
      <c r="I761" s="21" t="s">
        <v>2900</v>
      </c>
      <c r="J761" s="21" t="s">
        <v>2828</v>
      </c>
      <c r="K761" s="20" t="s">
        <v>0</v>
      </c>
    </row>
    <row r="762" spans="1:11" x14ac:dyDescent="0.2">
      <c r="A762" s="30" t="s">
        <v>2821</v>
      </c>
      <c r="B762" s="21" t="s">
        <v>2344</v>
      </c>
      <c r="C762" s="21" t="s">
        <v>2348</v>
      </c>
      <c r="D762" s="21">
        <v>2025</v>
      </c>
      <c r="E762" s="21" t="s">
        <v>954</v>
      </c>
      <c r="F762" s="21" t="s">
        <v>2352</v>
      </c>
      <c r="G762" s="21" t="str">
        <f>HYPERLINK("http://dx.doi.org/10.3389/fsufs.2025.1471046","http://dx.doi.org/10.3389/fsufs.2025.1471046")</f>
        <v>http://dx.doi.org/10.3389/fsufs.2025.1471046</v>
      </c>
      <c r="H762" s="21" t="s">
        <v>2826</v>
      </c>
      <c r="I762" s="21" t="s">
        <v>2836</v>
      </c>
      <c r="J762" s="21" t="s">
        <v>2830</v>
      </c>
      <c r="K762" s="20" t="s">
        <v>0</v>
      </c>
    </row>
    <row r="763" spans="1:11" x14ac:dyDescent="0.2">
      <c r="A763" s="30" t="s">
        <v>1569</v>
      </c>
      <c r="B763" s="21" t="s">
        <v>1801</v>
      </c>
      <c r="C763" s="21" t="s">
        <v>1505</v>
      </c>
      <c r="D763" s="21">
        <v>2018</v>
      </c>
      <c r="E763" s="21" t="s">
        <v>926</v>
      </c>
      <c r="F763" s="21" t="s">
        <v>209</v>
      </c>
      <c r="G763" s="21" t="str">
        <f>HYPERLINK("http://dx.doi.org/10.1007/s11367-016-1112-y","http://dx.doi.org/10.1007/s11367-016-1112-y")</f>
        <v>http://dx.doi.org/10.1007/s11367-016-1112-y</v>
      </c>
      <c r="H763" s="21" t="s">
        <v>2826</v>
      </c>
      <c r="I763" s="21" t="s">
        <v>2833</v>
      </c>
      <c r="J763" s="21" t="s">
        <v>2827</v>
      </c>
      <c r="K763" s="20" t="s">
        <v>0</v>
      </c>
    </row>
    <row r="764" spans="1:11" x14ac:dyDescent="0.2">
      <c r="A764" s="30" t="s">
        <v>1569</v>
      </c>
      <c r="B764" s="21" t="s">
        <v>2125</v>
      </c>
      <c r="C764" s="21" t="s">
        <v>1668</v>
      </c>
      <c r="D764" s="21">
        <v>2005</v>
      </c>
      <c r="E764" s="21" t="s">
        <v>944</v>
      </c>
      <c r="F764" s="21" t="s">
        <v>209</v>
      </c>
      <c r="G764" s="21" t="str">
        <f>HYPERLINK("http://dx.doi.org/10.1065/lca2004.10.188","http://dx.doi.org/10.1065/lca2004.10.188")</f>
        <v>http://dx.doi.org/10.1065/lca2004.10.188</v>
      </c>
      <c r="H764" s="21" t="s">
        <v>2825</v>
      </c>
      <c r="I764" s="21" t="s">
        <v>2835</v>
      </c>
      <c r="J764" s="21" t="s">
        <v>2218</v>
      </c>
      <c r="K764" s="20" t="s">
        <v>0</v>
      </c>
    </row>
    <row r="765" spans="1:11" x14ac:dyDescent="0.2">
      <c r="A765" s="30" t="s">
        <v>1569</v>
      </c>
      <c r="B765" s="21" t="s">
        <v>2106</v>
      </c>
      <c r="C765" s="21" t="s">
        <v>1506</v>
      </c>
      <c r="D765" s="21">
        <v>2008</v>
      </c>
      <c r="E765" s="21" t="s">
        <v>925</v>
      </c>
      <c r="F765" s="21" t="s">
        <v>144</v>
      </c>
      <c r="G765" s="21" t="str">
        <f>HYPERLINK("http://dx.doi.org/10.1016/j.jclepro.2007.08.001","http://dx.doi.org/10.1016/j.jclepro.2007.08.001")</f>
        <v>http://dx.doi.org/10.1016/j.jclepro.2007.08.001</v>
      </c>
      <c r="H765" s="21" t="s">
        <v>2826</v>
      </c>
      <c r="I765" s="21" t="s">
        <v>2835</v>
      </c>
      <c r="J765" s="21" t="s">
        <v>2839</v>
      </c>
      <c r="K765" s="20" t="s">
        <v>0</v>
      </c>
    </row>
    <row r="766" spans="1:11" x14ac:dyDescent="0.2">
      <c r="A766" s="30" t="s">
        <v>2821</v>
      </c>
      <c r="B766" s="21" t="s">
        <v>758</v>
      </c>
      <c r="C766" s="21" t="s">
        <v>759</v>
      </c>
      <c r="D766" s="21">
        <v>2012</v>
      </c>
      <c r="E766" s="21" t="s">
        <v>1057</v>
      </c>
      <c r="F766" s="21" t="s">
        <v>760</v>
      </c>
      <c r="G766" s="21" t="str">
        <f>HYPERLINK("http://dx.doi.org/10.1037/a0028234","http://dx.doi.org/10.1037/a0028234")</f>
        <v>http://dx.doi.org/10.1037/a0028234</v>
      </c>
      <c r="H766" s="21" t="s">
        <v>2826</v>
      </c>
      <c r="I766" s="21" t="s">
        <v>2836</v>
      </c>
      <c r="J766" s="21" t="s">
        <v>2830</v>
      </c>
      <c r="K766" s="20" t="s">
        <v>0</v>
      </c>
    </row>
    <row r="767" spans="1:11" x14ac:dyDescent="0.2">
      <c r="A767" s="30" t="s">
        <v>1569</v>
      </c>
      <c r="B767" s="21" t="s">
        <v>1783</v>
      </c>
      <c r="C767" s="21" t="s">
        <v>1507</v>
      </c>
      <c r="D767" s="21">
        <v>2014</v>
      </c>
      <c r="E767" s="21" t="s">
        <v>995</v>
      </c>
      <c r="F767" s="21" t="s">
        <v>2001</v>
      </c>
      <c r="G767" s="21" t="str">
        <f>HYPERLINK("http://dx.doi.org/10.1016/j.esd.2014.09.008","http://dx.doi.org/10.1016/j.esd.2014.09.008")</f>
        <v>http://dx.doi.org/10.1016/j.esd.2014.09.008</v>
      </c>
      <c r="H767" s="21" t="s">
        <v>2825</v>
      </c>
      <c r="I767" s="21" t="s">
        <v>2832</v>
      </c>
      <c r="J767" s="21" t="s">
        <v>2885</v>
      </c>
      <c r="K767" s="20" t="s">
        <v>0</v>
      </c>
    </row>
    <row r="768" spans="1:11" x14ac:dyDescent="0.2">
      <c r="A768" s="30" t="s">
        <v>1569</v>
      </c>
      <c r="B768" s="21" t="s">
        <v>1783</v>
      </c>
      <c r="C768" s="21" t="s">
        <v>1508</v>
      </c>
      <c r="D768" s="21">
        <v>2018</v>
      </c>
      <c r="E768" s="21" t="s">
        <v>942</v>
      </c>
      <c r="F768" s="21" t="s">
        <v>194</v>
      </c>
      <c r="G768" s="21" t="str">
        <f>HYPERLINK("http://dx.doi.org/10.1002/ente.201800037","http://dx.doi.org/10.1002/ente.201800037")</f>
        <v>http://dx.doi.org/10.1002/ente.201800037</v>
      </c>
      <c r="H768" s="21" t="s">
        <v>2826</v>
      </c>
      <c r="I768" s="21" t="s">
        <v>2835</v>
      </c>
      <c r="J768" s="21" t="s">
        <v>2218</v>
      </c>
      <c r="K768" s="20" t="s">
        <v>0</v>
      </c>
    </row>
    <row r="769" spans="1:11" x14ac:dyDescent="0.2">
      <c r="A769" s="30" t="s">
        <v>2821</v>
      </c>
      <c r="B769" s="21" t="s">
        <v>515</v>
      </c>
      <c r="C769" s="21" t="s">
        <v>516</v>
      </c>
      <c r="D769" s="21">
        <v>2022</v>
      </c>
      <c r="E769" s="21" t="s">
        <v>41</v>
      </c>
      <c r="F769" s="21" t="s">
        <v>207</v>
      </c>
      <c r="G769" s="21" t="str">
        <f>HYPERLINK("http://dx.doi.org/10.3390/app12094593","http://dx.doi.org/10.3390/app12094593")</f>
        <v>http://dx.doi.org/10.3390/app12094593</v>
      </c>
      <c r="H769" s="21" t="s">
        <v>2826</v>
      </c>
      <c r="I769" s="21" t="s">
        <v>2833</v>
      </c>
      <c r="J769" s="21" t="s">
        <v>2827</v>
      </c>
      <c r="K769" s="20" t="s">
        <v>0</v>
      </c>
    </row>
    <row r="770" spans="1:11" x14ac:dyDescent="0.2">
      <c r="A770" s="30" t="s">
        <v>2821</v>
      </c>
      <c r="B770" s="21" t="s">
        <v>611</v>
      </c>
      <c r="C770" s="21" t="s">
        <v>612</v>
      </c>
      <c r="D770" s="21">
        <v>2021</v>
      </c>
      <c r="E770" s="21" t="s">
        <v>928</v>
      </c>
      <c r="F770" s="21" t="s">
        <v>213</v>
      </c>
      <c r="G770" s="21" t="str">
        <f>HYPERLINK("http://dx.doi.org/10.1016/j.resconrec.2021.105504","http://dx.doi.org/10.1016/j.resconrec.2021.105504")</f>
        <v>http://dx.doi.org/10.1016/j.resconrec.2021.105504</v>
      </c>
      <c r="H770" s="21" t="s">
        <v>2826</v>
      </c>
      <c r="I770" s="21" t="s">
        <v>2833</v>
      </c>
      <c r="J770" s="21" t="s">
        <v>2827</v>
      </c>
      <c r="K770" s="20" t="s">
        <v>0</v>
      </c>
    </row>
    <row r="771" spans="1:11" x14ac:dyDescent="0.2">
      <c r="A771" s="30" t="s">
        <v>1569</v>
      </c>
      <c r="B771" s="21" t="s">
        <v>2129</v>
      </c>
      <c r="C771" s="21" t="s">
        <v>1509</v>
      </c>
      <c r="D771" s="21">
        <v>2005</v>
      </c>
      <c r="E771" s="21" t="s">
        <v>929</v>
      </c>
      <c r="F771" s="21" t="s">
        <v>2128</v>
      </c>
      <c r="G771" s="21" t="str">
        <f>HYPERLINK("http://dx.doi.org/10.1639/0044-7447(2005)034[0402:SDOFPA]2.0.CO;2","http://dx.doi.org/10.1639/0044-7447(2005)034[0402:SDOFPA]2.0.CO;2")</f>
        <v>http://dx.doi.org/10.1639/0044-7447(2005)034[0402:SDOFPA]2.0.CO;2</v>
      </c>
      <c r="H771" s="21" t="s">
        <v>2826</v>
      </c>
      <c r="I771" s="21" t="s">
        <v>2835</v>
      </c>
      <c r="J771" s="21" t="s">
        <v>2218</v>
      </c>
      <c r="K771" s="20" t="s">
        <v>0</v>
      </c>
    </row>
    <row r="772" spans="1:11" x14ac:dyDescent="0.2">
      <c r="A772" s="30" t="s">
        <v>1569</v>
      </c>
      <c r="B772" s="21" t="s">
        <v>1713</v>
      </c>
      <c r="C772" s="21" t="s">
        <v>1598</v>
      </c>
      <c r="D772" s="21">
        <v>2019</v>
      </c>
      <c r="E772" s="21" t="s">
        <v>41</v>
      </c>
      <c r="F772" s="21" t="s">
        <v>631</v>
      </c>
      <c r="G772" s="21" t="str">
        <f>HYPERLINK("http://dx.doi.org/10.3390/foods8060209","http://dx.doi.org/10.3390/foods8060209")</f>
        <v>http://dx.doi.org/10.3390/foods8060209</v>
      </c>
      <c r="H772" s="21" t="s">
        <v>2826</v>
      </c>
      <c r="I772" s="21" t="s">
        <v>2835</v>
      </c>
      <c r="J772" s="21" t="s">
        <v>2219</v>
      </c>
      <c r="K772" s="20" t="s">
        <v>0</v>
      </c>
    </row>
    <row r="773" spans="1:11" x14ac:dyDescent="0.2">
      <c r="A773" s="30" t="s">
        <v>2821</v>
      </c>
      <c r="B773" s="21" t="s">
        <v>412</v>
      </c>
      <c r="C773" s="21" t="s">
        <v>413</v>
      </c>
      <c r="D773" s="21">
        <v>2010</v>
      </c>
      <c r="E773" s="21" t="s">
        <v>923</v>
      </c>
      <c r="F773" s="21" t="s">
        <v>414</v>
      </c>
      <c r="G773" s="21" t="str">
        <f>HYPERLINK("http://dx.doi.org/10.1111/j.2041-210X.2010.00032.x","http://dx.doi.org/10.1111/j.2041-210X.2010.00032.x")</f>
        <v>http://dx.doi.org/10.1111/j.2041-210X.2010.00032.x</v>
      </c>
      <c r="H773" s="21" t="s">
        <v>2826</v>
      </c>
      <c r="I773" s="21" t="s">
        <v>2836</v>
      </c>
      <c r="J773" s="21" t="s">
        <v>2830</v>
      </c>
      <c r="K773" s="20" t="s">
        <v>0</v>
      </c>
    </row>
    <row r="774" spans="1:11" x14ac:dyDescent="0.2">
      <c r="A774" s="30" t="s">
        <v>2821</v>
      </c>
      <c r="B774" s="21" t="s">
        <v>663</v>
      </c>
      <c r="C774" s="21" t="s">
        <v>664</v>
      </c>
      <c r="D774" s="21">
        <v>2021</v>
      </c>
      <c r="E774" s="21" t="s">
        <v>964</v>
      </c>
      <c r="F774" s="21" t="s">
        <v>665</v>
      </c>
      <c r="G774" s="21" t="str">
        <f>HYPERLINK("http://dx.doi.org/10.1093/ajcn/nqab073","http://dx.doi.org/10.1093/ajcn/nqab073")</f>
        <v>http://dx.doi.org/10.1093/ajcn/nqab073</v>
      </c>
      <c r="H774" s="21" t="s">
        <v>2826</v>
      </c>
      <c r="I774" s="21" t="s">
        <v>2836</v>
      </c>
      <c r="J774" s="21" t="s">
        <v>2830</v>
      </c>
      <c r="K774" s="20" t="s">
        <v>0</v>
      </c>
    </row>
    <row r="775" spans="1:11" x14ac:dyDescent="0.2">
      <c r="A775" s="30" t="s">
        <v>2821</v>
      </c>
      <c r="B775" s="21" t="s">
        <v>353</v>
      </c>
      <c r="C775" s="21" t="s">
        <v>354</v>
      </c>
      <c r="D775" s="21">
        <v>2022</v>
      </c>
      <c r="E775" s="21" t="s">
        <v>925</v>
      </c>
      <c r="F775" s="21" t="s">
        <v>144</v>
      </c>
      <c r="G775" s="21" t="str">
        <f>HYPERLINK("http://dx.doi.org/10.1016/j.jclepro.2022.130441","http://dx.doi.org/10.1016/j.jclepro.2022.130441")</f>
        <v>http://dx.doi.org/10.1016/j.jclepro.2022.130441</v>
      </c>
      <c r="H775" s="21" t="s">
        <v>2825</v>
      </c>
      <c r="I775" s="21" t="s">
        <v>2832</v>
      </c>
      <c r="J775" s="21" t="s">
        <v>2252</v>
      </c>
      <c r="K775" s="20" t="s">
        <v>0</v>
      </c>
    </row>
    <row r="776" spans="1:11" x14ac:dyDescent="0.2">
      <c r="A776" s="30" t="s">
        <v>2821</v>
      </c>
      <c r="B776" s="21" t="s">
        <v>179</v>
      </c>
      <c r="C776" s="21" t="s">
        <v>180</v>
      </c>
      <c r="D776" s="21">
        <v>2019</v>
      </c>
      <c r="E776" s="21" t="s">
        <v>931</v>
      </c>
      <c r="F776" s="21" t="s">
        <v>181</v>
      </c>
      <c r="G776" s="21" t="str">
        <f>HYPERLINK("http://dx.doi.org/10.1016/j.buildenv.2019.05.008","http://dx.doi.org/10.1016/j.buildenv.2019.05.008")</f>
        <v>http://dx.doi.org/10.1016/j.buildenv.2019.05.008</v>
      </c>
      <c r="H776" s="21" t="s">
        <v>2826</v>
      </c>
      <c r="I776" s="21" t="s">
        <v>2835</v>
      </c>
      <c r="J776" s="21" t="s">
        <v>2218</v>
      </c>
      <c r="K776" s="20" t="s">
        <v>0</v>
      </c>
    </row>
    <row r="777" spans="1:11" x14ac:dyDescent="0.2">
      <c r="A777" s="30" t="s">
        <v>1569</v>
      </c>
      <c r="B777" s="21" t="s">
        <v>1848</v>
      </c>
      <c r="C777" s="21" t="s">
        <v>1510</v>
      </c>
      <c r="D777" s="21">
        <v>2017</v>
      </c>
      <c r="E777" s="21" t="s">
        <v>934</v>
      </c>
      <c r="F777" s="21" t="s">
        <v>304</v>
      </c>
      <c r="G777" s="21" t="str">
        <f>HYPERLINK("http://dx.doi.org/10.1016/j.enbuild.2017.05.042","http://dx.doi.org/10.1016/j.enbuild.2017.05.042")</f>
        <v>http://dx.doi.org/10.1016/j.enbuild.2017.05.042</v>
      </c>
      <c r="H777" s="21" t="s">
        <v>2826</v>
      </c>
      <c r="I777" s="21" t="s">
        <v>2835</v>
      </c>
      <c r="J777" s="21" t="s">
        <v>2218</v>
      </c>
      <c r="K777" s="20" t="s">
        <v>0</v>
      </c>
    </row>
    <row r="778" spans="1:11" x14ac:dyDescent="0.2">
      <c r="A778" s="30" t="s">
        <v>1569</v>
      </c>
      <c r="B778" s="21" t="s">
        <v>1699</v>
      </c>
      <c r="C778" s="21" t="s">
        <v>1586</v>
      </c>
      <c r="D778" s="21">
        <v>2019</v>
      </c>
      <c r="E778" s="21" t="s">
        <v>925</v>
      </c>
      <c r="F778" s="21" t="s">
        <v>144</v>
      </c>
      <c r="G778" s="21" t="str">
        <f>HYPERLINK("http://dx.doi.org/10.1016/j.jclepro.2019.03.297","http://dx.doi.org/10.1016/j.jclepro.2019.03.297")</f>
        <v>http://dx.doi.org/10.1016/j.jclepro.2019.03.297</v>
      </c>
      <c r="H778" s="21" t="s">
        <v>2826</v>
      </c>
      <c r="I778" s="21" t="s">
        <v>2835</v>
      </c>
      <c r="J778" s="21" t="s">
        <v>2214</v>
      </c>
      <c r="K778" s="20" t="s">
        <v>0</v>
      </c>
    </row>
    <row r="779" spans="1:11" x14ac:dyDescent="0.2">
      <c r="A779" s="30" t="s">
        <v>2821</v>
      </c>
      <c r="B779" s="21" t="s">
        <v>1128</v>
      </c>
      <c r="C779" s="21" t="s">
        <v>1074</v>
      </c>
      <c r="D779" s="21">
        <v>2011</v>
      </c>
      <c r="E779" s="21" t="s">
        <v>931</v>
      </c>
      <c r="F779" s="21" t="s">
        <v>306</v>
      </c>
      <c r="G779" s="21" t="str">
        <f>HYPERLINK("http://dx.doi.org/10.1016/j.rser.2011.07.061","http://dx.doi.org/10.1016/j.rser.2011.07.061")</f>
        <v>http://dx.doi.org/10.1016/j.rser.2011.07.061</v>
      </c>
      <c r="H779" s="21" t="s">
        <v>2826</v>
      </c>
      <c r="I779" s="21" t="s">
        <v>2900</v>
      </c>
      <c r="J779" s="21" t="s">
        <v>2828</v>
      </c>
      <c r="K779" s="20" t="s">
        <v>0</v>
      </c>
    </row>
    <row r="780" spans="1:11" x14ac:dyDescent="0.2">
      <c r="A780" s="30" t="s">
        <v>1569</v>
      </c>
      <c r="B780" s="21" t="s">
        <v>1876</v>
      </c>
      <c r="C780" s="21" t="s">
        <v>1511</v>
      </c>
      <c r="D780" s="21">
        <v>2017</v>
      </c>
      <c r="E780" s="21" t="s">
        <v>931</v>
      </c>
      <c r="F780" s="21" t="s">
        <v>329</v>
      </c>
      <c r="G780" s="21" t="str">
        <f>HYPERLINK("http://dx.doi.org/10.1016/j.wasman.2016.12.020","http://dx.doi.org/10.1016/j.wasman.2016.12.020")</f>
        <v>http://dx.doi.org/10.1016/j.wasman.2016.12.020</v>
      </c>
      <c r="H780" s="21" t="s">
        <v>2826</v>
      </c>
      <c r="I780" s="21" t="s">
        <v>2835</v>
      </c>
      <c r="J780" s="21" t="s">
        <v>2214</v>
      </c>
      <c r="K780" s="20" t="s">
        <v>0</v>
      </c>
    </row>
    <row r="781" spans="1:11" x14ac:dyDescent="0.2">
      <c r="A781" s="30" t="s">
        <v>1569</v>
      </c>
      <c r="B781" s="21" t="s">
        <v>1917</v>
      </c>
      <c r="C781" s="21" t="s">
        <v>1512</v>
      </c>
      <c r="D781" s="21">
        <v>2016</v>
      </c>
      <c r="E781" s="21" t="s">
        <v>925</v>
      </c>
      <c r="F781" s="21" t="s">
        <v>144</v>
      </c>
      <c r="G781" s="21" t="str">
        <f>HYPERLINK("http://dx.doi.org/10.1016/j.jclepro.2016.04.092","http://dx.doi.org/10.1016/j.jclepro.2016.04.092")</f>
        <v>http://dx.doi.org/10.1016/j.jclepro.2016.04.092</v>
      </c>
      <c r="H781" s="21" t="s">
        <v>2826</v>
      </c>
      <c r="I781" s="21" t="s">
        <v>2835</v>
      </c>
      <c r="J781" s="21" t="s">
        <v>2218</v>
      </c>
      <c r="K781" s="20" t="s">
        <v>0</v>
      </c>
    </row>
    <row r="782" spans="1:11" x14ac:dyDescent="0.2">
      <c r="A782" s="30" t="s">
        <v>1569</v>
      </c>
      <c r="B782" s="21" t="s">
        <v>1920</v>
      </c>
      <c r="C782" s="21" t="s">
        <v>1513</v>
      </c>
      <c r="D782" s="21">
        <v>2016</v>
      </c>
      <c r="E782" s="21" t="s">
        <v>928</v>
      </c>
      <c r="F782" s="21" t="s">
        <v>1921</v>
      </c>
      <c r="G782" s="21" t="str">
        <f>HYPERLINK("http://dx.doi.org/10.1016/j.cherd.2016.07.003","http://dx.doi.org/10.1016/j.cherd.2016.07.003")</f>
        <v>http://dx.doi.org/10.1016/j.cherd.2016.07.003</v>
      </c>
      <c r="H782" s="21" t="s">
        <v>2826</v>
      </c>
      <c r="I782" s="21" t="s">
        <v>2835</v>
      </c>
      <c r="J782" s="21" t="s">
        <v>2218</v>
      </c>
      <c r="K782" s="20" t="s">
        <v>0</v>
      </c>
    </row>
    <row r="783" spans="1:11" x14ac:dyDescent="0.2">
      <c r="A783" s="30" t="s">
        <v>1569</v>
      </c>
      <c r="B783" s="21" t="s">
        <v>1828</v>
      </c>
      <c r="C783" s="21" t="s">
        <v>1465</v>
      </c>
      <c r="D783" s="21">
        <v>2017</v>
      </c>
      <c r="E783" s="21" t="s">
        <v>926</v>
      </c>
      <c r="F783" s="21" t="s">
        <v>209</v>
      </c>
      <c r="G783" s="21" t="str">
        <f>HYPERLINK("http://dx.doi.org/10.1007/s11367-016-1197-3","http://dx.doi.org/10.1007/s11367-016-1197-3")</f>
        <v>http://dx.doi.org/10.1007/s11367-016-1197-3</v>
      </c>
      <c r="H783" s="21" t="s">
        <v>2826</v>
      </c>
      <c r="I783" s="21" t="s">
        <v>2835</v>
      </c>
      <c r="J783" s="21" t="s">
        <v>2218</v>
      </c>
      <c r="K783" s="20" t="s">
        <v>0</v>
      </c>
    </row>
    <row r="784" spans="1:11" x14ac:dyDescent="0.2">
      <c r="A784" s="30" t="s">
        <v>2821</v>
      </c>
      <c r="B784" s="21" t="s">
        <v>833</v>
      </c>
      <c r="C784" s="21" t="s">
        <v>834</v>
      </c>
      <c r="D784" s="21">
        <v>1993</v>
      </c>
      <c r="E784" s="21" t="s">
        <v>1061</v>
      </c>
      <c r="F784" s="21" t="s">
        <v>835</v>
      </c>
      <c r="G784" s="21" t="str">
        <f>HYPERLINK("http://dx.doi.org/10.1097/00004836-199307000-00016","http://dx.doi.org/10.1097/00004836-199307000-00016")</f>
        <v>http://dx.doi.org/10.1097/00004836-199307000-00016</v>
      </c>
      <c r="H784" s="21" t="s">
        <v>2826</v>
      </c>
      <c r="I784" s="21" t="s">
        <v>2836</v>
      </c>
      <c r="J784" s="21" t="s">
        <v>2830</v>
      </c>
      <c r="K784" s="20" t="s">
        <v>0</v>
      </c>
    </row>
    <row r="785" spans="1:11" x14ac:dyDescent="0.2">
      <c r="A785" s="30" t="s">
        <v>2821</v>
      </c>
      <c r="B785" s="21" t="s">
        <v>678</v>
      </c>
      <c r="C785" s="21" t="s">
        <v>679</v>
      </c>
      <c r="D785" s="21">
        <v>2023</v>
      </c>
      <c r="E785" s="21" t="s">
        <v>1035</v>
      </c>
      <c r="F785" s="21" t="s">
        <v>680</v>
      </c>
      <c r="G785" s="21" t="str">
        <f>HYPERLINK("http://dx.doi.org/10.1289/EHP12727","http://dx.doi.org/10.1289/EHP12727")</f>
        <v>http://dx.doi.org/10.1289/EHP12727</v>
      </c>
      <c r="H785" s="21" t="s">
        <v>2826</v>
      </c>
      <c r="I785" s="21" t="s">
        <v>2836</v>
      </c>
      <c r="J785" s="21" t="s">
        <v>2830</v>
      </c>
      <c r="K785" s="20" t="s">
        <v>0</v>
      </c>
    </row>
    <row r="786" spans="1:11" x14ac:dyDescent="0.2">
      <c r="A786" s="30" t="s">
        <v>2821</v>
      </c>
      <c r="B786" s="21" t="s">
        <v>761</v>
      </c>
      <c r="C786" s="21" t="s">
        <v>762</v>
      </c>
      <c r="D786" s="21">
        <v>2014</v>
      </c>
      <c r="E786" s="21" t="s">
        <v>1047</v>
      </c>
      <c r="F786" s="21" t="s">
        <v>763</v>
      </c>
      <c r="G786" s="21" t="str">
        <f>HYPERLINK("http://dx.doi.org/10.1016/j.jaapos.2014.05.009","http://dx.doi.org/10.1016/j.jaapos.2014.05.009")</f>
        <v>http://dx.doi.org/10.1016/j.jaapos.2014.05.009</v>
      </c>
      <c r="H786" s="21" t="s">
        <v>2826</v>
      </c>
      <c r="I786" s="21" t="s">
        <v>2836</v>
      </c>
      <c r="J786" s="21" t="s">
        <v>2830</v>
      </c>
      <c r="K786" s="20" t="s">
        <v>0</v>
      </c>
    </row>
    <row r="787" spans="1:11" x14ac:dyDescent="0.2">
      <c r="A787" s="30" t="s">
        <v>2822</v>
      </c>
      <c r="B787" s="21" t="s">
        <v>1234</v>
      </c>
      <c r="C787" s="21" t="s">
        <v>26</v>
      </c>
      <c r="D787" s="21">
        <v>2023</v>
      </c>
      <c r="E787" s="21" t="s">
        <v>924</v>
      </c>
      <c r="F787" s="21" t="s">
        <v>357</v>
      </c>
      <c r="G787" s="21" t="str">
        <f>HYPERLINK("http://dx.doi.org/10.1021/acs.est.2c06304","http://dx.doi.org/10.1021/acs.est.2c06304")</f>
        <v>http://dx.doi.org/10.1021/acs.est.2c06304</v>
      </c>
      <c r="H787" s="21" t="s">
        <v>1230</v>
      </c>
      <c r="I787" s="21" t="s">
        <v>2262</v>
      </c>
      <c r="J787" s="21" t="s">
        <v>2262</v>
      </c>
      <c r="K787" s="20" t="s">
        <v>0</v>
      </c>
    </row>
    <row r="788" spans="1:11" x14ac:dyDescent="0.2">
      <c r="A788" s="30" t="s">
        <v>1569</v>
      </c>
      <c r="B788" s="21" t="s">
        <v>1792</v>
      </c>
      <c r="C788" s="21" t="s">
        <v>1514</v>
      </c>
      <c r="D788" s="21">
        <v>2018</v>
      </c>
      <c r="E788" s="21" t="s">
        <v>925</v>
      </c>
      <c r="F788" s="21" t="s">
        <v>144</v>
      </c>
      <c r="G788" s="21" t="str">
        <f>HYPERLINK("http://dx.doi.org/10.1016/j.jclepro.2018.01.265","http://dx.doi.org/10.1016/j.jclepro.2018.01.265")</f>
        <v>http://dx.doi.org/10.1016/j.jclepro.2018.01.265</v>
      </c>
      <c r="H788" s="21" t="s">
        <v>2826</v>
      </c>
      <c r="I788" s="21" t="s">
        <v>2835</v>
      </c>
      <c r="J788" s="21" t="s">
        <v>2218</v>
      </c>
      <c r="K788" s="20" t="s">
        <v>0</v>
      </c>
    </row>
    <row r="789" spans="1:11" x14ac:dyDescent="0.2">
      <c r="A789" s="30" t="s">
        <v>2821</v>
      </c>
      <c r="B789" s="21" t="s">
        <v>593</v>
      </c>
      <c r="C789" s="21" t="s">
        <v>594</v>
      </c>
      <c r="D789" s="21">
        <v>2024</v>
      </c>
      <c r="E789" s="21" t="s">
        <v>925</v>
      </c>
      <c r="F789" s="21" t="s">
        <v>144</v>
      </c>
      <c r="G789" s="21" t="str">
        <f>HYPERLINK("http://dx.doi.org/10.1016/j.jclepro.2024.141083","http://dx.doi.org/10.1016/j.jclepro.2024.141083")</f>
        <v>http://dx.doi.org/10.1016/j.jclepro.2024.141083</v>
      </c>
      <c r="H789" s="21" t="s">
        <v>2826</v>
      </c>
      <c r="I789" s="21" t="s">
        <v>2900</v>
      </c>
      <c r="J789" s="21" t="s">
        <v>2828</v>
      </c>
      <c r="K789" s="20" t="s">
        <v>0</v>
      </c>
    </row>
    <row r="790" spans="1:11" x14ac:dyDescent="0.2">
      <c r="A790" s="30" t="s">
        <v>2821</v>
      </c>
      <c r="B790" s="21" t="s">
        <v>375</v>
      </c>
      <c r="C790" s="21" t="s">
        <v>376</v>
      </c>
      <c r="D790" s="21">
        <v>2024</v>
      </c>
      <c r="E790" s="21" t="s">
        <v>925</v>
      </c>
      <c r="F790" s="21" t="s">
        <v>144</v>
      </c>
      <c r="G790" s="21" t="str">
        <f>HYPERLINK("http://dx.doi.org/10.1016/j.jclepro.2024.142418","http://dx.doi.org/10.1016/j.jclepro.2024.142418")</f>
        <v>http://dx.doi.org/10.1016/j.jclepro.2024.142418</v>
      </c>
      <c r="H790" s="21" t="s">
        <v>2825</v>
      </c>
      <c r="I790" s="21" t="s">
        <v>2832</v>
      </c>
      <c r="J790" s="21" t="s">
        <v>2896</v>
      </c>
      <c r="K790" s="20" t="s">
        <v>0</v>
      </c>
    </row>
    <row r="791" spans="1:11" x14ac:dyDescent="0.2">
      <c r="A791" s="30" t="s">
        <v>1569</v>
      </c>
      <c r="B791" s="21" t="s">
        <v>1938</v>
      </c>
      <c r="C791" s="21" t="s">
        <v>108</v>
      </c>
      <c r="D791" s="21">
        <v>2016</v>
      </c>
      <c r="E791" s="21" t="s">
        <v>923</v>
      </c>
      <c r="F791" s="21" t="s">
        <v>127</v>
      </c>
      <c r="G791" s="21" t="str">
        <f>HYPERLINK("http://dx.doi.org/10.1111/jiec.12391","http://dx.doi.org/10.1111/jiec.12391")</f>
        <v>http://dx.doi.org/10.1111/jiec.12391</v>
      </c>
      <c r="H791" s="21" t="s">
        <v>2825</v>
      </c>
      <c r="I791" s="21" t="s">
        <v>2835</v>
      </c>
      <c r="J791" s="21" t="s">
        <v>2218</v>
      </c>
      <c r="K791" s="20" t="s">
        <v>0</v>
      </c>
    </row>
    <row r="792" spans="1:11" x14ac:dyDescent="0.2">
      <c r="A792" s="30" t="s">
        <v>2820</v>
      </c>
      <c r="B792" s="21" t="s">
        <v>2267</v>
      </c>
      <c r="C792" s="21" t="s">
        <v>2270</v>
      </c>
      <c r="D792" s="21">
        <v>2023</v>
      </c>
      <c r="E792" s="21" t="s">
        <v>928</v>
      </c>
      <c r="F792" s="21" t="s">
        <v>213</v>
      </c>
      <c r="G792" s="21" t="str">
        <f>HYPERLINK("http://dx.doi.org/10.1016/j.resconrec.2023.107028","http://dx.doi.org/10.1016/j.resconrec.2023.107028")</f>
        <v>http://dx.doi.org/10.1016/j.resconrec.2023.107028</v>
      </c>
      <c r="H792" s="21" t="s">
        <v>1230</v>
      </c>
      <c r="I792" s="21" t="s">
        <v>2262</v>
      </c>
      <c r="J792" s="21" t="s">
        <v>2262</v>
      </c>
      <c r="K792" s="20" t="s">
        <v>0</v>
      </c>
    </row>
    <row r="793" spans="1:11" x14ac:dyDescent="0.2">
      <c r="A793" s="30" t="s">
        <v>2821</v>
      </c>
      <c r="B793" s="21" t="s">
        <v>636</v>
      </c>
      <c r="C793" s="21" t="s">
        <v>637</v>
      </c>
      <c r="D793" s="21">
        <v>2022</v>
      </c>
      <c r="E793" s="21" t="s">
        <v>928</v>
      </c>
      <c r="F793" s="21" t="s">
        <v>133</v>
      </c>
      <c r="G793" s="21" t="str">
        <f>HYPERLINK("http://dx.doi.org/10.1016/j.jobe.2021.103485","http://dx.doi.org/10.1016/j.jobe.2021.103485")</f>
        <v>http://dx.doi.org/10.1016/j.jobe.2021.103485</v>
      </c>
      <c r="H793" s="21" t="s">
        <v>2826</v>
      </c>
      <c r="I793" s="21" t="s">
        <v>2833</v>
      </c>
      <c r="J793" s="21" t="s">
        <v>2827</v>
      </c>
      <c r="K793" s="20" t="s">
        <v>0</v>
      </c>
    </row>
    <row r="794" spans="1:11" x14ac:dyDescent="0.2">
      <c r="A794" s="30" t="s">
        <v>2821</v>
      </c>
      <c r="B794" s="21" t="s">
        <v>831</v>
      </c>
      <c r="C794" s="21" t="s">
        <v>832</v>
      </c>
      <c r="D794" s="21">
        <v>2018</v>
      </c>
      <c r="E794" s="21" t="s">
        <v>1035</v>
      </c>
      <c r="F794" s="21" t="s">
        <v>680</v>
      </c>
      <c r="G794" s="21" t="str">
        <f>HYPERLINK("http://dx.doi.org/10.1289/EHP1480","http://dx.doi.org/10.1289/EHP1480")</f>
        <v>http://dx.doi.org/10.1289/EHP1480</v>
      </c>
      <c r="H794" s="21" t="s">
        <v>2826</v>
      </c>
      <c r="I794" s="21" t="s">
        <v>2836</v>
      </c>
      <c r="J794" s="21" t="s">
        <v>2830</v>
      </c>
      <c r="K794" s="20" t="s">
        <v>0</v>
      </c>
    </row>
    <row r="795" spans="1:11" x14ac:dyDescent="0.2">
      <c r="A795" s="30" t="s">
        <v>1569</v>
      </c>
      <c r="B795" s="21" t="s">
        <v>1954</v>
      </c>
      <c r="C795" s="21" t="s">
        <v>1515</v>
      </c>
      <c r="D795" s="21">
        <v>2016</v>
      </c>
      <c r="E795" s="21" t="s">
        <v>1034</v>
      </c>
      <c r="F795" s="21" t="s">
        <v>1955</v>
      </c>
      <c r="G795" s="21" t="str">
        <f>HYPERLINK("http://dx.doi.org/10.1080/19397038.2015.1085110","http://dx.doi.org/10.1080/19397038.2015.1085110")</f>
        <v>http://dx.doi.org/10.1080/19397038.2015.1085110</v>
      </c>
      <c r="H795" s="21" t="s">
        <v>2826</v>
      </c>
      <c r="I795" s="21" t="s">
        <v>2835</v>
      </c>
      <c r="J795" s="21" t="s">
        <v>2218</v>
      </c>
      <c r="K795" s="20" t="s">
        <v>0</v>
      </c>
    </row>
    <row r="796" spans="1:11" x14ac:dyDescent="0.2">
      <c r="A796" s="30" t="s">
        <v>1569</v>
      </c>
      <c r="B796" s="21" t="s">
        <v>1946</v>
      </c>
      <c r="C796" s="21" t="s">
        <v>1516</v>
      </c>
      <c r="D796" s="21">
        <v>2016</v>
      </c>
      <c r="E796" s="21" t="s">
        <v>925</v>
      </c>
      <c r="F796" s="21" t="s">
        <v>144</v>
      </c>
      <c r="G796" s="21" t="str">
        <f>HYPERLINK("http://dx.doi.org/10.1016/j.jclepro.2015.07.090","http://dx.doi.org/10.1016/j.jclepro.2015.07.090")</f>
        <v>http://dx.doi.org/10.1016/j.jclepro.2015.07.090</v>
      </c>
      <c r="H796" s="21" t="s">
        <v>2826</v>
      </c>
      <c r="I796" s="21" t="s">
        <v>2835</v>
      </c>
      <c r="J796" s="21" t="s">
        <v>2218</v>
      </c>
      <c r="K796" s="20" t="s">
        <v>0</v>
      </c>
    </row>
    <row r="797" spans="1:11" x14ac:dyDescent="0.2">
      <c r="A797" s="30" t="s">
        <v>2821</v>
      </c>
      <c r="B797" s="21" t="s">
        <v>728</v>
      </c>
      <c r="C797" s="21" t="s">
        <v>729</v>
      </c>
      <c r="D797" s="21">
        <v>2020</v>
      </c>
      <c r="E797" s="21" t="s">
        <v>948</v>
      </c>
      <c r="F797" s="21" t="s">
        <v>730</v>
      </c>
      <c r="G797" s="21" t="str">
        <f>HYPERLINK("http://dx.doi.org/10.1108/JQME-12-2016-0084","http://dx.doi.org/10.1108/JQME-12-2016-0084")</f>
        <v>http://dx.doi.org/10.1108/JQME-12-2016-0084</v>
      </c>
      <c r="H797" s="21" t="s">
        <v>2826</v>
      </c>
      <c r="I797" s="21" t="s">
        <v>2836</v>
      </c>
      <c r="J797" s="21" t="s">
        <v>2830</v>
      </c>
      <c r="K797" s="20" t="s">
        <v>0</v>
      </c>
    </row>
    <row r="798" spans="1:11" x14ac:dyDescent="0.2">
      <c r="A798" s="30" t="s">
        <v>1569</v>
      </c>
      <c r="B798" s="21" t="s">
        <v>1994</v>
      </c>
      <c r="C798" s="21" t="s">
        <v>1517</v>
      </c>
      <c r="D798" s="21">
        <v>2015</v>
      </c>
      <c r="E798" s="21" t="s">
        <v>925</v>
      </c>
      <c r="F798" s="21" t="s">
        <v>1846</v>
      </c>
      <c r="G798" s="21" t="str">
        <f>HYPERLINK("http://dx.doi.org/10.1016/j.agsy.2014.09.006","http://dx.doi.org/10.1016/j.agsy.2014.09.006")</f>
        <v>http://dx.doi.org/10.1016/j.agsy.2014.09.006</v>
      </c>
      <c r="H798" s="21" t="s">
        <v>2826</v>
      </c>
      <c r="I798" s="21" t="s">
        <v>2835</v>
      </c>
      <c r="J798" s="21" t="s">
        <v>2219</v>
      </c>
      <c r="K798" s="20" t="s">
        <v>0</v>
      </c>
    </row>
    <row r="799" spans="1:11" x14ac:dyDescent="0.2">
      <c r="A799" s="30" t="s">
        <v>2821</v>
      </c>
      <c r="B799" s="21" t="s">
        <v>892</v>
      </c>
      <c r="C799" s="21" t="s">
        <v>893</v>
      </c>
      <c r="D799" s="21">
        <v>2012</v>
      </c>
      <c r="E799" s="21" t="s">
        <v>924</v>
      </c>
      <c r="F799" s="21" t="s">
        <v>894</v>
      </c>
      <c r="G799" s="21" t="str">
        <f>HYPERLINK("http://dx.doi.org/10.1021/ef3004569","http://dx.doi.org/10.1021/ef3004569")</f>
        <v>http://dx.doi.org/10.1021/ef3004569</v>
      </c>
      <c r="H799" s="21" t="s">
        <v>2826</v>
      </c>
      <c r="I799" s="21" t="s">
        <v>2833</v>
      </c>
      <c r="J799" s="21" t="s">
        <v>2827</v>
      </c>
      <c r="K799" s="20" t="s">
        <v>0</v>
      </c>
    </row>
    <row r="800" spans="1:11" x14ac:dyDescent="0.2">
      <c r="A800" s="30" t="s">
        <v>2821</v>
      </c>
      <c r="B800" s="21" t="s">
        <v>866</v>
      </c>
      <c r="C800" s="21" t="s">
        <v>867</v>
      </c>
      <c r="D800" s="21">
        <v>2023</v>
      </c>
      <c r="E800" s="21" t="s">
        <v>925</v>
      </c>
      <c r="F800" s="21" t="s">
        <v>167</v>
      </c>
      <c r="G800" s="21" t="str">
        <f>HYPERLINK("http://dx.doi.org/10.1016/j.apenergy.2022.120362","http://dx.doi.org/10.1016/j.apenergy.2022.120362")</f>
        <v>http://dx.doi.org/10.1016/j.apenergy.2022.120362</v>
      </c>
      <c r="H800" s="21" t="s">
        <v>2825</v>
      </c>
      <c r="I800" s="21" t="s">
        <v>2835</v>
      </c>
      <c r="J800" s="21" t="s">
        <v>2217</v>
      </c>
      <c r="K800" s="20" t="s">
        <v>0</v>
      </c>
    </row>
    <row r="801" spans="1:11" x14ac:dyDescent="0.2">
      <c r="A801" s="30" t="s">
        <v>2821</v>
      </c>
      <c r="B801" s="21" t="s">
        <v>1009</v>
      </c>
      <c r="C801" s="21" t="s">
        <v>1010</v>
      </c>
      <c r="D801" s="21">
        <v>2022</v>
      </c>
      <c r="E801" s="21" t="s">
        <v>991</v>
      </c>
      <c r="F801" s="21" t="s">
        <v>1011</v>
      </c>
      <c r="G801" s="21" t="str">
        <f>HYPERLINK("http://dx.doi.org/10.1080/15440478.2022.2064391","http://dx.doi.org/10.1080/15440478.2022.2064391")</f>
        <v>http://dx.doi.org/10.1080/15440478.2022.2064391</v>
      </c>
      <c r="H801" s="21" t="s">
        <v>2826</v>
      </c>
      <c r="I801" s="21" t="s">
        <v>2834</v>
      </c>
      <c r="J801" s="21" t="s">
        <v>2208</v>
      </c>
      <c r="K801" s="20" t="s">
        <v>0</v>
      </c>
    </row>
    <row r="802" spans="1:11" x14ac:dyDescent="0.2">
      <c r="A802" s="30" t="s">
        <v>2821</v>
      </c>
      <c r="B802" s="21" t="s">
        <v>243</v>
      </c>
      <c r="C802" s="21" t="s">
        <v>244</v>
      </c>
      <c r="D802" s="21">
        <v>2018</v>
      </c>
      <c r="E802" s="21" t="s">
        <v>925</v>
      </c>
      <c r="F802" s="21" t="s">
        <v>144</v>
      </c>
      <c r="G802" s="21" t="str">
        <f>HYPERLINK("http://dx.doi.org/10.1016/j.jclepro.2017.09.054","http://dx.doi.org/10.1016/j.jclepro.2017.09.054")</f>
        <v>http://dx.doi.org/10.1016/j.jclepro.2017.09.054</v>
      </c>
      <c r="H802" s="21" t="s">
        <v>2826</v>
      </c>
      <c r="I802" s="21" t="s">
        <v>2832</v>
      </c>
      <c r="J802" s="21" t="s">
        <v>2213</v>
      </c>
      <c r="K802" s="20" t="s">
        <v>0</v>
      </c>
    </row>
    <row r="803" spans="1:11" x14ac:dyDescent="0.2">
      <c r="A803" s="30" t="s">
        <v>2821</v>
      </c>
      <c r="B803" s="21" t="s">
        <v>537</v>
      </c>
      <c r="C803" s="21" t="s">
        <v>538</v>
      </c>
      <c r="D803" s="21">
        <v>2013</v>
      </c>
      <c r="E803" s="21" t="s">
        <v>986</v>
      </c>
      <c r="F803" s="21" t="s">
        <v>539</v>
      </c>
      <c r="G803" s="21" t="str">
        <f>HYPERLINK("http://dx.doi.org/10.1051/metal/2013054","http://dx.doi.org/10.1051/metal/2013054")</f>
        <v>http://dx.doi.org/10.1051/metal/2013054</v>
      </c>
      <c r="H803" s="21" t="s">
        <v>2826</v>
      </c>
      <c r="I803" s="21" t="s">
        <v>2900</v>
      </c>
      <c r="J803" s="21" t="s">
        <v>2828</v>
      </c>
      <c r="K803" s="20" t="s">
        <v>0</v>
      </c>
    </row>
    <row r="804" spans="1:11" x14ac:dyDescent="0.2">
      <c r="A804" s="30" t="s">
        <v>2821</v>
      </c>
      <c r="B804" s="21" t="s">
        <v>605</v>
      </c>
      <c r="C804" s="21" t="s">
        <v>606</v>
      </c>
      <c r="D804" s="21">
        <v>2021</v>
      </c>
      <c r="E804" s="21" t="s">
        <v>923</v>
      </c>
      <c r="F804" s="21" t="s">
        <v>607</v>
      </c>
      <c r="G804" s="21" t="str">
        <f>HYPERLINK("http://dx.doi.org/10.1111/brv.12677","http://dx.doi.org/10.1111/brv.12677")</f>
        <v>http://dx.doi.org/10.1111/brv.12677</v>
      </c>
      <c r="H804" s="21" t="s">
        <v>2826</v>
      </c>
      <c r="I804" s="21" t="s">
        <v>2836</v>
      </c>
      <c r="J804" s="21" t="s">
        <v>2830</v>
      </c>
      <c r="K804" s="20" t="s">
        <v>0</v>
      </c>
    </row>
    <row r="805" spans="1:11" x14ac:dyDescent="0.2">
      <c r="A805" s="30" t="s">
        <v>1569</v>
      </c>
      <c r="B805" s="21" t="s">
        <v>1757</v>
      </c>
      <c r="C805" s="21" t="s">
        <v>1518</v>
      </c>
      <c r="D805" s="21">
        <v>2018</v>
      </c>
      <c r="E805" s="21" t="s">
        <v>925</v>
      </c>
      <c r="F805" s="21" t="s">
        <v>272</v>
      </c>
      <c r="G805" s="21" t="str">
        <f>HYPERLINK("http://dx.doi.org/10.1016/j.biortech.2018.07.037","http://dx.doi.org/10.1016/j.biortech.2018.07.037")</f>
        <v>http://dx.doi.org/10.1016/j.biortech.2018.07.037</v>
      </c>
      <c r="H805" s="21" t="s">
        <v>2826</v>
      </c>
      <c r="I805" s="21" t="s">
        <v>2835</v>
      </c>
      <c r="J805" s="21" t="s">
        <v>2219</v>
      </c>
      <c r="K805" s="20" t="s">
        <v>0</v>
      </c>
    </row>
    <row r="806" spans="1:11" x14ac:dyDescent="0.2">
      <c r="A806" s="30" t="s">
        <v>1569</v>
      </c>
      <c r="B806" s="21" t="s">
        <v>1883</v>
      </c>
      <c r="C806" s="21" t="s">
        <v>1519</v>
      </c>
      <c r="D806" s="21">
        <v>2017</v>
      </c>
      <c r="E806" s="21" t="s">
        <v>925</v>
      </c>
      <c r="F806" s="21" t="s">
        <v>144</v>
      </c>
      <c r="G806" s="21" t="str">
        <f>HYPERLINK("http://dx.doi.org/10.1016/j.jclepro.2016.10.034","http://dx.doi.org/10.1016/j.jclepro.2016.10.034")</f>
        <v>http://dx.doi.org/10.1016/j.jclepro.2016.10.034</v>
      </c>
      <c r="H806" s="21" t="s">
        <v>2825</v>
      </c>
      <c r="I806" s="21" t="s">
        <v>2832</v>
      </c>
      <c r="J806" s="21" t="s">
        <v>2857</v>
      </c>
      <c r="K806" s="20" t="s">
        <v>0</v>
      </c>
    </row>
    <row r="807" spans="1:11" x14ac:dyDescent="0.2">
      <c r="A807" s="30" t="s">
        <v>2821</v>
      </c>
      <c r="B807" s="21" t="s">
        <v>310</v>
      </c>
      <c r="C807" s="21" t="s">
        <v>2</v>
      </c>
      <c r="D807" s="21">
        <v>2024</v>
      </c>
      <c r="E807" s="21" t="s">
        <v>928</v>
      </c>
      <c r="F807" s="21" t="s">
        <v>173</v>
      </c>
      <c r="G807" s="21" t="str">
        <f>HYPERLINK("http://dx.doi.org/10.1016/j.spc.2024.01.013","http://dx.doi.org/10.1016/j.spc.2024.01.013")</f>
        <v>http://dx.doi.org/10.1016/j.spc.2024.01.013</v>
      </c>
      <c r="H807" s="21" t="s">
        <v>2826</v>
      </c>
      <c r="I807" s="21" t="s">
        <v>2835</v>
      </c>
      <c r="J807" s="21" t="s">
        <v>2218</v>
      </c>
      <c r="K807" s="20" t="s">
        <v>0</v>
      </c>
    </row>
    <row r="808" spans="1:11" x14ac:dyDescent="0.2">
      <c r="A808" s="30" t="s">
        <v>1569</v>
      </c>
      <c r="B808" s="21" t="s">
        <v>1247</v>
      </c>
      <c r="C808" s="21" t="s">
        <v>12</v>
      </c>
      <c r="D808" s="21">
        <v>2019</v>
      </c>
      <c r="E808" s="21" t="s">
        <v>924</v>
      </c>
      <c r="F808" s="21" t="s">
        <v>357</v>
      </c>
      <c r="G808" s="21" t="str">
        <f>HYPERLINK("http://dx.doi.org/10.1021/acs.est.9b02944","http://dx.doi.org/10.1021/acs.est.9b02944")</f>
        <v>http://dx.doi.org/10.1021/acs.est.9b02944</v>
      </c>
      <c r="H808" s="21" t="s">
        <v>2826</v>
      </c>
      <c r="I808" s="21" t="s">
        <v>2835</v>
      </c>
      <c r="J808" s="21" t="s">
        <v>2218</v>
      </c>
      <c r="K808" s="20" t="s">
        <v>0</v>
      </c>
    </row>
    <row r="809" spans="1:11" x14ac:dyDescent="0.2">
      <c r="A809" s="30" t="s">
        <v>1569</v>
      </c>
      <c r="B809" s="21" t="s">
        <v>2120</v>
      </c>
      <c r="C809" s="21" t="s">
        <v>1666</v>
      </c>
      <c r="D809" s="21">
        <v>2006</v>
      </c>
      <c r="E809" s="21" t="s">
        <v>944</v>
      </c>
      <c r="F809" s="21" t="s">
        <v>209</v>
      </c>
      <c r="G809" s="21" t="str">
        <f>HYPERLINK("http://dx.doi.org/10.1065/lca2006.01.232","http://dx.doi.org/10.1065/lca2006.01.232")</f>
        <v>http://dx.doi.org/10.1065/lca2006.01.232</v>
      </c>
      <c r="H809" s="21" t="s">
        <v>2826</v>
      </c>
      <c r="I809" s="21" t="s">
        <v>2835</v>
      </c>
      <c r="J809" s="21" t="s">
        <v>2218</v>
      </c>
      <c r="K809" s="20" t="s">
        <v>0</v>
      </c>
    </row>
    <row r="810" spans="1:11" x14ac:dyDescent="0.2">
      <c r="A810" s="30" t="s">
        <v>1569</v>
      </c>
      <c r="B810" s="21" t="s">
        <v>1911</v>
      </c>
      <c r="C810" s="21" t="s">
        <v>1640</v>
      </c>
      <c r="D810" s="21">
        <v>2016</v>
      </c>
      <c r="E810" s="21" t="s">
        <v>928</v>
      </c>
      <c r="F810" s="21" t="s">
        <v>1912</v>
      </c>
      <c r="G810" s="21" t="str">
        <f>HYPERLINK("http://dx.doi.org/10.1016/j.eja.2016.06.013","http://dx.doi.org/10.1016/j.eja.2016.06.013")</f>
        <v>http://dx.doi.org/10.1016/j.eja.2016.06.013</v>
      </c>
      <c r="H810" s="21" t="s">
        <v>2826</v>
      </c>
      <c r="I810" s="21" t="s">
        <v>2835</v>
      </c>
      <c r="J810" s="21" t="s">
        <v>2219</v>
      </c>
      <c r="K810" s="20" t="s">
        <v>0</v>
      </c>
    </row>
    <row r="811" spans="1:11" x14ac:dyDescent="0.2">
      <c r="A811" s="30" t="s">
        <v>2821</v>
      </c>
      <c r="B811" s="21" t="s">
        <v>687</v>
      </c>
      <c r="C811" s="21" t="s">
        <v>688</v>
      </c>
      <c r="D811" s="21">
        <v>2023</v>
      </c>
      <c r="E811" s="21" t="s">
        <v>925</v>
      </c>
      <c r="F811" s="21" t="s">
        <v>53</v>
      </c>
      <c r="G811" s="21" t="str">
        <f>HYPERLINK("http://dx.doi.org/10.1016/j.fuel.2022.125978","http://dx.doi.org/10.1016/j.fuel.2022.125978")</f>
        <v>http://dx.doi.org/10.1016/j.fuel.2022.125978</v>
      </c>
      <c r="H811" s="21" t="s">
        <v>2826</v>
      </c>
      <c r="I811" s="21" t="s">
        <v>2900</v>
      </c>
      <c r="J811" s="21" t="s">
        <v>2828</v>
      </c>
      <c r="K811" s="20" t="s">
        <v>0</v>
      </c>
    </row>
    <row r="812" spans="1:11" x14ac:dyDescent="0.2">
      <c r="A812" s="30" t="s">
        <v>1569</v>
      </c>
      <c r="B812" s="21" t="s">
        <v>1740</v>
      </c>
      <c r="C812" s="21" t="s">
        <v>1620</v>
      </c>
      <c r="D812" s="21">
        <v>2019</v>
      </c>
      <c r="E812" s="21" t="s">
        <v>929</v>
      </c>
      <c r="F812" s="21" t="s">
        <v>1741</v>
      </c>
      <c r="G812" s="21" t="str">
        <f>HYPERLINK("http://dx.doi.org/10.1007/s10640-018-0292-2","http://dx.doi.org/10.1007/s10640-018-0292-2")</f>
        <v>http://dx.doi.org/10.1007/s10640-018-0292-2</v>
      </c>
      <c r="H812" s="21" t="s">
        <v>2826</v>
      </c>
      <c r="I812" s="21" t="s">
        <v>2833</v>
      </c>
      <c r="J812" s="21" t="s">
        <v>2827</v>
      </c>
      <c r="K812" s="20" t="s">
        <v>0</v>
      </c>
    </row>
    <row r="813" spans="1:11" x14ac:dyDescent="0.2">
      <c r="A813" s="30" t="s">
        <v>2821</v>
      </c>
      <c r="B813" s="21" t="s">
        <v>552</v>
      </c>
      <c r="C813" s="21" t="s">
        <v>553</v>
      </c>
      <c r="D813" s="21">
        <v>2017</v>
      </c>
      <c r="E813" s="21" t="s">
        <v>942</v>
      </c>
      <c r="F813" s="21" t="s">
        <v>554</v>
      </c>
      <c r="G813" s="21" t="str">
        <f>HYPERLINK("http://dx.doi.org/10.1002/jssc.201700171","http://dx.doi.org/10.1002/jssc.201700171")</f>
        <v>http://dx.doi.org/10.1002/jssc.201700171</v>
      </c>
      <c r="H813" s="21" t="s">
        <v>2826</v>
      </c>
      <c r="I813" s="21" t="s">
        <v>2836</v>
      </c>
      <c r="J813" s="21" t="s">
        <v>2830</v>
      </c>
      <c r="K813" s="20" t="s">
        <v>0</v>
      </c>
    </row>
    <row r="814" spans="1:11" x14ac:dyDescent="0.2">
      <c r="A814" s="30" t="s">
        <v>1569</v>
      </c>
      <c r="B814" s="21" t="s">
        <v>2052</v>
      </c>
      <c r="C814" s="21" t="s">
        <v>1520</v>
      </c>
      <c r="D814" s="21">
        <v>2012</v>
      </c>
      <c r="E814" s="21" t="s">
        <v>925</v>
      </c>
      <c r="F814" s="21" t="s">
        <v>167</v>
      </c>
      <c r="G814" s="21" t="str">
        <f>HYPERLINK("http://dx.doi.org/10.1016/j.apenergy.2012.03.006","http://dx.doi.org/10.1016/j.apenergy.2012.03.006")</f>
        <v>http://dx.doi.org/10.1016/j.apenergy.2012.03.006</v>
      </c>
      <c r="H814" s="21" t="s">
        <v>2825</v>
      </c>
      <c r="I814" s="21" t="s">
        <v>2832</v>
      </c>
      <c r="J814" s="21" t="s">
        <v>2236</v>
      </c>
      <c r="K814" s="20" t="s">
        <v>0</v>
      </c>
    </row>
    <row r="815" spans="1:11" x14ac:dyDescent="0.2">
      <c r="A815" s="30" t="s">
        <v>1569</v>
      </c>
      <c r="B815" s="21" t="s">
        <v>2164</v>
      </c>
      <c r="C815" s="21" t="s">
        <v>1521</v>
      </c>
      <c r="D815" s="21">
        <v>2013</v>
      </c>
      <c r="E815" s="21" t="s">
        <v>924</v>
      </c>
      <c r="F815" s="21" t="s">
        <v>357</v>
      </c>
      <c r="G815" s="21" t="str">
        <f>HYPERLINK("http://dx.doi.org/10.1021/es400998y","http://dx.doi.org/10.1021/es400998y")</f>
        <v>http://dx.doi.org/10.1021/es400998y</v>
      </c>
      <c r="H815" s="21" t="s">
        <v>2826</v>
      </c>
      <c r="I815" s="21" t="s">
        <v>2835</v>
      </c>
      <c r="J815" s="21" t="s">
        <v>2219</v>
      </c>
      <c r="K815" s="20" t="s">
        <v>0</v>
      </c>
    </row>
    <row r="816" spans="1:11" x14ac:dyDescent="0.2">
      <c r="A816" s="30" t="s">
        <v>1569</v>
      </c>
      <c r="B816" s="21" t="s">
        <v>2014</v>
      </c>
      <c r="C816" s="21" t="s">
        <v>1647</v>
      </c>
      <c r="D816" s="21">
        <v>2014</v>
      </c>
      <c r="E816" s="21" t="s">
        <v>928</v>
      </c>
      <c r="F816" s="21" t="s">
        <v>213</v>
      </c>
      <c r="G816" s="21" t="str">
        <f>HYPERLINK("http://dx.doi.org/10.1016/j.resconrec.2014.08.001","http://dx.doi.org/10.1016/j.resconrec.2014.08.001")</f>
        <v>http://dx.doi.org/10.1016/j.resconrec.2014.08.001</v>
      </c>
      <c r="H816" s="21" t="s">
        <v>2826</v>
      </c>
      <c r="I816" s="21" t="s">
        <v>2835</v>
      </c>
      <c r="J816" s="21" t="s">
        <v>2219</v>
      </c>
      <c r="K816" s="20" t="s">
        <v>0</v>
      </c>
    </row>
    <row r="817" spans="1:11" x14ac:dyDescent="0.2">
      <c r="A817" s="30" t="s">
        <v>1569</v>
      </c>
      <c r="B817" s="21" t="s">
        <v>1260</v>
      </c>
      <c r="C817" s="21" t="s">
        <v>1261</v>
      </c>
      <c r="D817" s="21">
        <v>2016</v>
      </c>
      <c r="E817" s="21" t="s">
        <v>931</v>
      </c>
      <c r="F817" s="21" t="s">
        <v>306</v>
      </c>
      <c r="G817" s="21" t="str">
        <f>HYPERLINK("http://dx.doi.org/10.1016/j.rser.2015.04.016","http://dx.doi.org/10.1016/j.rser.2015.04.016")</f>
        <v>http://dx.doi.org/10.1016/j.rser.2015.04.016</v>
      </c>
      <c r="H817" s="21" t="s">
        <v>2825</v>
      </c>
      <c r="I817" s="21" t="s">
        <v>2209</v>
      </c>
      <c r="J817" s="21" t="s">
        <v>2864</v>
      </c>
      <c r="K817" s="20" t="s">
        <v>0</v>
      </c>
    </row>
    <row r="818" spans="1:11" x14ac:dyDescent="0.2">
      <c r="A818" s="30" t="s">
        <v>2821</v>
      </c>
      <c r="B818" s="21" t="s">
        <v>709</v>
      </c>
      <c r="C818" s="21" t="s">
        <v>710</v>
      </c>
      <c r="D818" s="21">
        <v>2020</v>
      </c>
      <c r="E818" s="21" t="s">
        <v>41</v>
      </c>
      <c r="F818" s="21" t="s">
        <v>207</v>
      </c>
      <c r="G818" s="21" t="str">
        <f>HYPERLINK("http://dx.doi.org/10.3390/app10207317","http://dx.doi.org/10.3390/app10207317")</f>
        <v>http://dx.doi.org/10.3390/app10207317</v>
      </c>
      <c r="H818" s="21" t="s">
        <v>2826</v>
      </c>
      <c r="I818" s="21" t="s">
        <v>2832</v>
      </c>
      <c r="J818" s="21" t="s">
        <v>2829</v>
      </c>
      <c r="K818" s="20" t="s">
        <v>0</v>
      </c>
    </row>
    <row r="819" spans="1:11" x14ac:dyDescent="0.2">
      <c r="A819" s="30" t="s">
        <v>1569</v>
      </c>
      <c r="B819" s="21" t="s">
        <v>1904</v>
      </c>
      <c r="C819" s="21" t="s">
        <v>1522</v>
      </c>
      <c r="D819" s="21">
        <v>2016</v>
      </c>
      <c r="E819" s="21" t="s">
        <v>923</v>
      </c>
      <c r="F819" s="21" t="s">
        <v>255</v>
      </c>
      <c r="G819" s="21" t="str">
        <f>HYPERLINK("http://dx.doi.org/10.1002/pip.2704","http://dx.doi.org/10.1002/pip.2704")</f>
        <v>http://dx.doi.org/10.1002/pip.2704</v>
      </c>
      <c r="H819" s="21" t="s">
        <v>2826</v>
      </c>
      <c r="I819" s="21" t="s">
        <v>2835</v>
      </c>
      <c r="J819" s="21" t="s">
        <v>2218</v>
      </c>
      <c r="K819" s="20" t="s">
        <v>0</v>
      </c>
    </row>
    <row r="820" spans="1:11" x14ac:dyDescent="0.2">
      <c r="A820" s="30" t="s">
        <v>1569</v>
      </c>
      <c r="B820" s="21" t="s">
        <v>1904</v>
      </c>
      <c r="C820" s="21" t="s">
        <v>1637</v>
      </c>
      <c r="D820" s="21">
        <v>2016</v>
      </c>
      <c r="E820" s="21" t="s">
        <v>928</v>
      </c>
      <c r="F820" s="21" t="s">
        <v>1905</v>
      </c>
      <c r="G820" s="21" t="str">
        <f>HYPERLINK("http://dx.doi.org/10.1016/j.solmat.2016.04.024","http://dx.doi.org/10.1016/j.solmat.2016.04.024")</f>
        <v>http://dx.doi.org/10.1016/j.solmat.2016.04.024</v>
      </c>
      <c r="H820" s="21" t="s">
        <v>2826</v>
      </c>
      <c r="I820" s="21" t="s">
        <v>2835</v>
      </c>
      <c r="J820" s="21" t="s">
        <v>2218</v>
      </c>
      <c r="K820" s="20" t="s">
        <v>0</v>
      </c>
    </row>
    <row r="821" spans="1:11" x14ac:dyDescent="0.2">
      <c r="A821" s="30" t="s">
        <v>2821</v>
      </c>
      <c r="B821" s="21" t="s">
        <v>689</v>
      </c>
      <c r="C821" s="21" t="s">
        <v>690</v>
      </c>
      <c r="D821" s="21">
        <v>2006</v>
      </c>
      <c r="E821" s="21" t="s">
        <v>923</v>
      </c>
      <c r="F821" s="21" t="s">
        <v>127</v>
      </c>
      <c r="G821" s="21" t="str">
        <f>HYPERLINK("http://dx.doi.org/10.1162/jiec.2006.10.3.183","http://dx.doi.org/10.1162/jiec.2006.10.3.183")</f>
        <v>http://dx.doi.org/10.1162/jiec.2006.10.3.183</v>
      </c>
      <c r="H821" s="21" t="s">
        <v>2826</v>
      </c>
      <c r="I821" s="21" t="s">
        <v>2900</v>
      </c>
      <c r="J821" s="21" t="s">
        <v>2828</v>
      </c>
      <c r="K821" s="20" t="s">
        <v>0</v>
      </c>
    </row>
    <row r="822" spans="1:11" x14ac:dyDescent="0.2">
      <c r="A822" s="30" t="s">
        <v>1569</v>
      </c>
      <c r="B822" s="21" t="s">
        <v>2192</v>
      </c>
      <c r="C822" s="21" t="s">
        <v>2144</v>
      </c>
      <c r="D822" s="21">
        <v>2019</v>
      </c>
      <c r="E822" s="21" t="s">
        <v>925</v>
      </c>
      <c r="F822" s="21" t="s">
        <v>167</v>
      </c>
      <c r="G822" s="21" t="str">
        <f>HYPERLINK("http://dx.doi.org/10.1016/j.apenergy.2018.11.094","http://dx.doi.org/10.1016/j.apenergy.2018.11.094")</f>
        <v>http://dx.doi.org/10.1016/j.apenergy.2018.11.094</v>
      </c>
      <c r="H822" s="21" t="s">
        <v>2826</v>
      </c>
      <c r="I822" s="21" t="s">
        <v>2835</v>
      </c>
      <c r="J822" s="21" t="s">
        <v>2215</v>
      </c>
      <c r="K822" s="20" t="s">
        <v>0</v>
      </c>
    </row>
    <row r="823" spans="1:11" x14ac:dyDescent="0.2">
      <c r="A823" s="30" t="s">
        <v>2821</v>
      </c>
      <c r="B823" s="21" t="s">
        <v>512</v>
      </c>
      <c r="C823" s="21" t="s">
        <v>513</v>
      </c>
      <c r="D823" s="21">
        <v>2024</v>
      </c>
      <c r="E823" s="21" t="s">
        <v>928</v>
      </c>
      <c r="F823" s="21" t="s">
        <v>514</v>
      </c>
      <c r="G823" s="21" t="str">
        <f>HYPERLINK("http://dx.doi.org/10.1016/j.erss.2024.103731","http://dx.doi.org/10.1016/j.erss.2024.103731")</f>
        <v>http://dx.doi.org/10.1016/j.erss.2024.103731</v>
      </c>
      <c r="H823" s="21" t="s">
        <v>2826</v>
      </c>
      <c r="I823" s="21" t="s">
        <v>2900</v>
      </c>
      <c r="J823" s="21" t="s">
        <v>2828</v>
      </c>
      <c r="K823" s="20" t="s">
        <v>0</v>
      </c>
    </row>
    <row r="824" spans="1:11" x14ac:dyDescent="0.2">
      <c r="A824" s="30" t="s">
        <v>1569</v>
      </c>
      <c r="B824" s="21" t="s">
        <v>2007</v>
      </c>
      <c r="C824" s="21" t="s">
        <v>1523</v>
      </c>
      <c r="D824" s="21">
        <v>2014</v>
      </c>
      <c r="E824" s="21" t="s">
        <v>925</v>
      </c>
      <c r="F824" s="21" t="s">
        <v>167</v>
      </c>
      <c r="G824" s="21" t="str">
        <f>HYPERLINK("http://dx.doi.org/10.1016/j.apenergy.2014.06.006","http://dx.doi.org/10.1016/j.apenergy.2014.06.006")</f>
        <v>http://dx.doi.org/10.1016/j.apenergy.2014.06.006</v>
      </c>
      <c r="H824" s="21" t="s">
        <v>2825</v>
      </c>
      <c r="I824" s="21" t="s">
        <v>2832</v>
      </c>
      <c r="J824" s="21" t="s">
        <v>2879</v>
      </c>
      <c r="K824" s="20" t="s">
        <v>0</v>
      </c>
    </row>
    <row r="825" spans="1:11" x14ac:dyDescent="0.2">
      <c r="A825" s="30" t="s">
        <v>1569</v>
      </c>
      <c r="B825" s="21" t="s">
        <v>2006</v>
      </c>
      <c r="C825" s="21" t="s">
        <v>1524</v>
      </c>
      <c r="D825" s="21">
        <v>2014</v>
      </c>
      <c r="E825" s="21" t="s">
        <v>925</v>
      </c>
      <c r="F825" s="21" t="s">
        <v>167</v>
      </c>
      <c r="G825" s="21" t="str">
        <f>HYPERLINK("http://dx.doi.org/10.1016/j.apenergy.2014.06.078","http://dx.doi.org/10.1016/j.apenergy.2014.06.078")</f>
        <v>http://dx.doi.org/10.1016/j.apenergy.2014.06.078</v>
      </c>
      <c r="H825" s="21" t="s">
        <v>2825</v>
      </c>
      <c r="I825" s="21" t="s">
        <v>2209</v>
      </c>
      <c r="J825" s="21" t="s">
        <v>2873</v>
      </c>
      <c r="K825" s="20" t="s">
        <v>0</v>
      </c>
    </row>
    <row r="826" spans="1:11" x14ac:dyDescent="0.2">
      <c r="A826" s="30" t="s">
        <v>2821</v>
      </c>
      <c r="B826" s="21" t="s">
        <v>562</v>
      </c>
      <c r="C826" s="21" t="s">
        <v>563</v>
      </c>
      <c r="D826" s="21">
        <v>2024</v>
      </c>
      <c r="E826" s="21" t="s">
        <v>925</v>
      </c>
      <c r="F826" s="21" t="s">
        <v>564</v>
      </c>
      <c r="G826" s="21" t="str">
        <f>HYPERLINK("http://dx.doi.org/10.1016/j.polymdegradstab.2023.110619","http://dx.doi.org/10.1016/j.polymdegradstab.2023.110619")</f>
        <v>http://dx.doi.org/10.1016/j.polymdegradstab.2023.110619</v>
      </c>
      <c r="H826" s="21" t="s">
        <v>2826</v>
      </c>
      <c r="I826" s="21" t="s">
        <v>2900</v>
      </c>
      <c r="J826" s="21" t="s">
        <v>2828</v>
      </c>
      <c r="K826" s="20" t="s">
        <v>0</v>
      </c>
    </row>
    <row r="827" spans="1:11" x14ac:dyDescent="0.2">
      <c r="A827" s="30" t="s">
        <v>2821</v>
      </c>
      <c r="B827" s="21" t="s">
        <v>1058</v>
      </c>
      <c r="C827" s="21" t="s">
        <v>1059</v>
      </c>
      <c r="D827" s="21">
        <v>2013</v>
      </c>
      <c r="E827" s="21" t="s">
        <v>943</v>
      </c>
      <c r="F827" s="21" t="s">
        <v>827</v>
      </c>
      <c r="G827" s="21" t="str">
        <f>HYPERLINK("http://dx.doi.org/10.1017/S0033291712001523","http://dx.doi.org/10.1017/S0033291712001523")</f>
        <v>http://dx.doi.org/10.1017/S0033291712001523</v>
      </c>
      <c r="H827" s="21" t="s">
        <v>2826</v>
      </c>
      <c r="I827" s="21" t="s">
        <v>2836</v>
      </c>
      <c r="J827" s="21" t="s">
        <v>2830</v>
      </c>
      <c r="K827" s="20" t="s">
        <v>0</v>
      </c>
    </row>
    <row r="828" spans="1:11" x14ac:dyDescent="0.2">
      <c r="A828" s="30" t="s">
        <v>2821</v>
      </c>
      <c r="B828" s="21" t="s">
        <v>1166</v>
      </c>
      <c r="C828" s="21" t="s">
        <v>1086</v>
      </c>
      <c r="D828" s="21">
        <v>2023</v>
      </c>
      <c r="E828" s="21" t="s">
        <v>928</v>
      </c>
      <c r="F828" s="21" t="s">
        <v>162</v>
      </c>
      <c r="G828" s="21" t="str">
        <f>HYPERLINK("http://dx.doi.org/10.1016/j.susmat.2022.e00529","http://dx.doi.org/10.1016/j.susmat.2022.e00529")</f>
        <v>http://dx.doi.org/10.1016/j.susmat.2022.e00529</v>
      </c>
      <c r="H828" s="21" t="s">
        <v>2826</v>
      </c>
      <c r="I828" s="21" t="s">
        <v>2900</v>
      </c>
      <c r="J828" s="21" t="s">
        <v>2828</v>
      </c>
      <c r="K828" s="20" t="s">
        <v>0</v>
      </c>
    </row>
    <row r="829" spans="1:11" x14ac:dyDescent="0.2">
      <c r="A829" s="30" t="s">
        <v>1569</v>
      </c>
      <c r="B829" s="21" t="s">
        <v>1256</v>
      </c>
      <c r="C829" s="21" t="s">
        <v>1257</v>
      </c>
      <c r="D829" s="21">
        <v>2014</v>
      </c>
      <c r="E829" s="21" t="s">
        <v>924</v>
      </c>
      <c r="F829" s="21" t="s">
        <v>357</v>
      </c>
      <c r="G829" s="21" t="str">
        <f>HYPERLINK("http://dx.doi.org/10.1021/es4034638","http://dx.doi.org/10.1021/es4034638")</f>
        <v>http://dx.doi.org/10.1021/es4034638</v>
      </c>
      <c r="H829" s="21" t="s">
        <v>2826</v>
      </c>
      <c r="I829" s="21" t="s">
        <v>2835</v>
      </c>
      <c r="J829" s="21" t="s">
        <v>2218</v>
      </c>
      <c r="K829" s="20" t="s">
        <v>0</v>
      </c>
    </row>
    <row r="830" spans="1:11" x14ac:dyDescent="0.2">
      <c r="A830" s="30" t="s">
        <v>2821</v>
      </c>
      <c r="B830" s="21" t="s">
        <v>346</v>
      </c>
      <c r="C830" s="21" t="s">
        <v>347</v>
      </c>
      <c r="D830" s="21">
        <v>2021</v>
      </c>
      <c r="E830" s="21" t="s">
        <v>925</v>
      </c>
      <c r="F830" s="21" t="s">
        <v>144</v>
      </c>
      <c r="G830" s="21" t="str">
        <f>HYPERLINK("http://dx.doi.org/10.1016/j.jclepro.2020.125086","http://dx.doi.org/10.1016/j.jclepro.2020.125086")</f>
        <v>http://dx.doi.org/10.1016/j.jclepro.2020.125086</v>
      </c>
      <c r="H830" s="21" t="s">
        <v>2826</v>
      </c>
      <c r="I830" s="21" t="s">
        <v>2835</v>
      </c>
      <c r="J830" s="21" t="s">
        <v>2218</v>
      </c>
      <c r="K830" s="20" t="s">
        <v>0</v>
      </c>
    </row>
    <row r="831" spans="1:11" x14ac:dyDescent="0.2">
      <c r="A831" s="30" t="s">
        <v>1569</v>
      </c>
      <c r="B831" s="21" t="s">
        <v>1746</v>
      </c>
      <c r="C831" s="21" t="s">
        <v>1525</v>
      </c>
      <c r="D831" s="21">
        <v>2018</v>
      </c>
      <c r="E831" s="21" t="s">
        <v>931</v>
      </c>
      <c r="F831" s="21" t="s">
        <v>228</v>
      </c>
      <c r="G831" s="21" t="str">
        <f>HYPERLINK("http://dx.doi.org/10.1016/j.biombioe.2018.10.001","http://dx.doi.org/10.1016/j.biombioe.2018.10.001")</f>
        <v>http://dx.doi.org/10.1016/j.biombioe.2018.10.001</v>
      </c>
      <c r="H831" s="21" t="s">
        <v>2825</v>
      </c>
      <c r="I831" s="21" t="s">
        <v>2832</v>
      </c>
      <c r="J831" s="21" t="s">
        <v>2232</v>
      </c>
      <c r="K831" s="20" t="s">
        <v>0</v>
      </c>
    </row>
    <row r="832" spans="1:11" x14ac:dyDescent="0.2">
      <c r="A832" s="30" t="s">
        <v>1569</v>
      </c>
      <c r="B832" s="21" t="s">
        <v>1900</v>
      </c>
      <c r="C832" s="21" t="s">
        <v>1526</v>
      </c>
      <c r="D832" s="21">
        <v>2016</v>
      </c>
      <c r="E832" s="21" t="s">
        <v>925</v>
      </c>
      <c r="F832" s="21" t="s">
        <v>144</v>
      </c>
      <c r="G832" s="21" t="str">
        <f>HYPERLINK("http://dx.doi.org/10.1016/j.jclepro.2016.07.173","http://dx.doi.org/10.1016/j.jclepro.2016.07.173")</f>
        <v>http://dx.doi.org/10.1016/j.jclepro.2016.07.173</v>
      </c>
      <c r="H832" s="21" t="s">
        <v>2826</v>
      </c>
      <c r="I832" s="21" t="s">
        <v>2835</v>
      </c>
      <c r="J832" s="21" t="s">
        <v>2214</v>
      </c>
      <c r="K832" s="20" t="s">
        <v>0</v>
      </c>
    </row>
    <row r="833" spans="1:11" x14ac:dyDescent="0.2">
      <c r="A833" s="30" t="s">
        <v>2821</v>
      </c>
      <c r="B833" s="21" t="s">
        <v>335</v>
      </c>
      <c r="C833" s="21" t="s">
        <v>336</v>
      </c>
      <c r="D833" s="21">
        <v>2020</v>
      </c>
      <c r="E833" s="21" t="s">
        <v>928</v>
      </c>
      <c r="F833" s="21" t="s">
        <v>197</v>
      </c>
      <c r="G833" s="21" t="str">
        <f>HYPERLINK("http://dx.doi.org/10.1016/j.scitotenv.2020.138212","http://dx.doi.org/10.1016/j.scitotenv.2020.138212")</f>
        <v>http://dx.doi.org/10.1016/j.scitotenv.2020.138212</v>
      </c>
      <c r="H833" s="21" t="s">
        <v>2826</v>
      </c>
      <c r="I833" s="21" t="s">
        <v>2835</v>
      </c>
      <c r="J833" s="21" t="s">
        <v>2218</v>
      </c>
      <c r="K833" s="20" t="s">
        <v>0</v>
      </c>
    </row>
    <row r="834" spans="1:11" x14ac:dyDescent="0.2">
      <c r="A834" s="30" t="s">
        <v>1569</v>
      </c>
      <c r="B834" s="21" t="s">
        <v>1884</v>
      </c>
      <c r="C834" s="21" t="s">
        <v>1527</v>
      </c>
      <c r="D834" s="21">
        <v>2017</v>
      </c>
      <c r="E834" s="21" t="s">
        <v>925</v>
      </c>
      <c r="F834" s="21" t="s">
        <v>144</v>
      </c>
      <c r="G834" s="21" t="str">
        <f>HYPERLINK("http://dx.doi.org/10.1016/j.jclepro.2016.11.059","http://dx.doi.org/10.1016/j.jclepro.2016.11.059")</f>
        <v>http://dx.doi.org/10.1016/j.jclepro.2016.11.059</v>
      </c>
      <c r="H834" s="21" t="s">
        <v>2826</v>
      </c>
      <c r="I834" s="21" t="s">
        <v>2835</v>
      </c>
      <c r="J834" s="21" t="s">
        <v>2218</v>
      </c>
      <c r="K834" s="20" t="s">
        <v>0</v>
      </c>
    </row>
    <row r="835" spans="1:11" x14ac:dyDescent="0.2">
      <c r="A835" s="30" t="s">
        <v>2821</v>
      </c>
      <c r="B835" s="21" t="s">
        <v>203</v>
      </c>
      <c r="C835" s="21" t="s">
        <v>204</v>
      </c>
      <c r="D835" s="21">
        <v>2023</v>
      </c>
      <c r="E835" s="21" t="s">
        <v>925</v>
      </c>
      <c r="F835" s="21" t="s">
        <v>167</v>
      </c>
      <c r="G835" s="21" t="str">
        <f>HYPERLINK("http://dx.doi.org/10.1016/j.apenergy.2023.120834","http://dx.doi.org/10.1016/j.apenergy.2023.120834")</f>
        <v>http://dx.doi.org/10.1016/j.apenergy.2023.120834</v>
      </c>
      <c r="H835" s="21" t="s">
        <v>2826</v>
      </c>
      <c r="I835" s="21" t="s">
        <v>2835</v>
      </c>
      <c r="J835" s="21" t="s">
        <v>2218</v>
      </c>
      <c r="K835" s="20" t="s">
        <v>0</v>
      </c>
    </row>
    <row r="836" spans="1:11" x14ac:dyDescent="0.2">
      <c r="A836" s="30" t="s">
        <v>2821</v>
      </c>
      <c r="B836" s="21" t="s">
        <v>345</v>
      </c>
      <c r="C836" s="21" t="s">
        <v>6</v>
      </c>
      <c r="D836" s="21">
        <v>2022</v>
      </c>
      <c r="E836" s="21" t="s">
        <v>923</v>
      </c>
      <c r="F836" s="21" t="s">
        <v>127</v>
      </c>
      <c r="G836" s="21" t="str">
        <f>HYPERLINK("http://dx.doi.org/10.1111/jiec.13258","http://dx.doi.org/10.1111/jiec.13258")</f>
        <v>http://dx.doi.org/10.1111/jiec.13258</v>
      </c>
      <c r="H836" s="21" t="s">
        <v>1230</v>
      </c>
      <c r="I836" s="21" t="s">
        <v>2262</v>
      </c>
      <c r="J836" s="21" t="s">
        <v>2262</v>
      </c>
      <c r="K836" s="20" t="s">
        <v>0</v>
      </c>
    </row>
    <row r="837" spans="1:11" x14ac:dyDescent="0.2">
      <c r="A837" s="30" t="s">
        <v>2821</v>
      </c>
      <c r="B837" s="21" t="s">
        <v>2373</v>
      </c>
      <c r="C837" s="21" t="s">
        <v>2369</v>
      </c>
      <c r="D837" s="21">
        <v>2025</v>
      </c>
      <c r="E837" s="21" t="s">
        <v>928</v>
      </c>
      <c r="F837" s="21" t="s">
        <v>173</v>
      </c>
      <c r="G837" s="21" t="str">
        <f>HYPERLINK("http://dx.doi.org/10.1016/j.spc.2025.05.003","http://dx.doi.org/10.1016/j.spc.2025.05.003")</f>
        <v>http://dx.doi.org/10.1016/j.spc.2025.05.003</v>
      </c>
      <c r="H837" s="21" t="s">
        <v>2826</v>
      </c>
      <c r="I837" s="21" t="s">
        <v>2833</v>
      </c>
      <c r="J837" s="21" t="s">
        <v>2827</v>
      </c>
      <c r="K837" s="20" t="s">
        <v>0</v>
      </c>
    </row>
    <row r="838" spans="1:11" x14ac:dyDescent="0.2">
      <c r="A838" s="30" t="s">
        <v>1569</v>
      </c>
      <c r="B838" s="21" t="s">
        <v>1735</v>
      </c>
      <c r="C838" s="21" t="s">
        <v>9</v>
      </c>
      <c r="D838" s="21">
        <v>2019</v>
      </c>
      <c r="E838" s="21" t="s">
        <v>923</v>
      </c>
      <c r="F838" s="21" t="s">
        <v>127</v>
      </c>
      <c r="G838" s="21" t="str">
        <f>HYPERLINK("http://dx.doi.org/10.1111/jiec.12722","http://dx.doi.org/10.1111/jiec.12722")</f>
        <v>http://dx.doi.org/10.1111/jiec.12722</v>
      </c>
      <c r="H838" s="21" t="s">
        <v>1230</v>
      </c>
      <c r="I838" s="21" t="s">
        <v>2262</v>
      </c>
      <c r="J838" s="21" t="s">
        <v>2262</v>
      </c>
      <c r="K838" s="20" t="s">
        <v>0</v>
      </c>
    </row>
    <row r="839" spans="1:11" x14ac:dyDescent="0.2">
      <c r="A839" s="30" t="s">
        <v>1569</v>
      </c>
      <c r="B839" s="21" t="s">
        <v>1714</v>
      </c>
      <c r="C839" s="21" t="s">
        <v>1599</v>
      </c>
      <c r="D839" s="21">
        <v>2019</v>
      </c>
      <c r="E839" s="21" t="s">
        <v>923</v>
      </c>
      <c r="F839" s="21" t="s">
        <v>127</v>
      </c>
      <c r="G839" s="21" t="str">
        <f>HYPERLINK("http://dx.doi.org/10.1111/jiec.12774","http://dx.doi.org/10.1111/jiec.12774")</f>
        <v>http://dx.doi.org/10.1111/jiec.12774</v>
      </c>
      <c r="H839" s="21" t="s">
        <v>2826</v>
      </c>
      <c r="I839" s="21" t="s">
        <v>2835</v>
      </c>
      <c r="J839" s="21" t="s">
        <v>2218</v>
      </c>
      <c r="K839" s="20" t="s">
        <v>0</v>
      </c>
    </row>
    <row r="840" spans="1:11" x14ac:dyDescent="0.2">
      <c r="A840" s="30" t="s">
        <v>2820</v>
      </c>
      <c r="B840" s="21" t="s">
        <v>1206</v>
      </c>
      <c r="C840" s="21" t="s">
        <v>51</v>
      </c>
      <c r="D840" s="21">
        <v>2020</v>
      </c>
      <c r="E840" s="21" t="s">
        <v>924</v>
      </c>
      <c r="F840" s="21" t="s">
        <v>357</v>
      </c>
      <c r="G840" s="21" t="str">
        <f>HYPERLINK("http://dx.doi.org/10.1021/acs.est.9b06484","http://dx.doi.org/10.1021/acs.est.9b06484")</f>
        <v>http://dx.doi.org/10.1021/acs.est.9b06484</v>
      </c>
      <c r="H840" s="21" t="s">
        <v>1230</v>
      </c>
      <c r="I840" s="21" t="s">
        <v>2262</v>
      </c>
      <c r="J840" s="21" t="s">
        <v>2262</v>
      </c>
      <c r="K840" s="20" t="s">
        <v>0</v>
      </c>
    </row>
    <row r="841" spans="1:11" x14ac:dyDescent="0.2">
      <c r="A841" s="30" t="s">
        <v>1569</v>
      </c>
      <c r="B841" s="21" t="s">
        <v>2027</v>
      </c>
      <c r="C841" s="21" t="s">
        <v>1528</v>
      </c>
      <c r="D841" s="21">
        <v>2014</v>
      </c>
      <c r="E841" s="21" t="s">
        <v>926</v>
      </c>
      <c r="F841" s="21" t="s">
        <v>209</v>
      </c>
      <c r="G841" s="21" t="str">
        <f>HYPERLINK("http://dx.doi.org/10.1007/s11367-013-0669-y","http://dx.doi.org/10.1007/s11367-013-0669-y")</f>
        <v>http://dx.doi.org/10.1007/s11367-013-0669-y</v>
      </c>
      <c r="H841" s="21" t="s">
        <v>2825</v>
      </c>
      <c r="I841" s="21" t="s">
        <v>2834</v>
      </c>
      <c r="J841" s="21" t="s">
        <v>2211</v>
      </c>
      <c r="K841" s="20" t="s">
        <v>0</v>
      </c>
    </row>
    <row r="842" spans="1:11" x14ac:dyDescent="0.2">
      <c r="A842" s="30" t="s">
        <v>1569</v>
      </c>
      <c r="B842" s="21" t="s">
        <v>2028</v>
      </c>
      <c r="C842" s="21" t="s">
        <v>96</v>
      </c>
      <c r="D842" s="21">
        <v>2014</v>
      </c>
      <c r="E842" s="21" t="s">
        <v>995</v>
      </c>
      <c r="F842" s="21" t="s">
        <v>197</v>
      </c>
      <c r="G842" s="21" t="str">
        <f>HYPERLINK("http://dx.doi.org/10.1016/j.scitotenv.2013.10.097","http://dx.doi.org/10.1016/j.scitotenv.2013.10.097")</f>
        <v>http://dx.doi.org/10.1016/j.scitotenv.2013.10.097</v>
      </c>
      <c r="H842" s="21" t="s">
        <v>2825</v>
      </c>
      <c r="I842" s="21" t="s">
        <v>2832</v>
      </c>
      <c r="J842" s="21" t="s">
        <v>2851</v>
      </c>
      <c r="K842" s="20" t="s">
        <v>0</v>
      </c>
    </row>
    <row r="843" spans="1:11" x14ac:dyDescent="0.2">
      <c r="A843" s="30" t="s">
        <v>2821</v>
      </c>
      <c r="B843" s="21" t="s">
        <v>2285</v>
      </c>
      <c r="C843" s="21" t="s">
        <v>2286</v>
      </c>
      <c r="D843" s="21">
        <v>2025</v>
      </c>
      <c r="E843" s="21" t="s">
        <v>931</v>
      </c>
      <c r="F843" s="21" t="s">
        <v>2287</v>
      </c>
      <c r="G843" s="21" t="str">
        <f>HYPERLINK("http://dx.doi.org/10.1016/j.biombioe.2024.107566","http://dx.doi.org/10.1016/j.biombioe.2024.107566")</f>
        <v>http://dx.doi.org/10.1016/j.biombioe.2024.107566</v>
      </c>
      <c r="H843" s="21" t="s">
        <v>2826</v>
      </c>
      <c r="I843" s="21" t="s">
        <v>2900</v>
      </c>
      <c r="J843" s="21" t="s">
        <v>2828</v>
      </c>
      <c r="K843" s="20" t="s">
        <v>0</v>
      </c>
    </row>
    <row r="844" spans="1:11" x14ac:dyDescent="0.2">
      <c r="A844" s="30" t="s">
        <v>1569</v>
      </c>
      <c r="B844" s="21" t="s">
        <v>2166</v>
      </c>
      <c r="C844" s="21" t="s">
        <v>2165</v>
      </c>
      <c r="D844" s="21">
        <v>2019</v>
      </c>
      <c r="E844" s="21" t="s">
        <v>41</v>
      </c>
      <c r="F844" s="21" t="s">
        <v>54</v>
      </c>
      <c r="G844" s="21" t="str">
        <f>HYPERLINK("http://dx.doi.org/10.3390/su11143836","http://dx.doi.org/10.3390/su11143836")</f>
        <v>http://dx.doi.org/10.3390/su11143836</v>
      </c>
      <c r="H844" s="21" t="s">
        <v>2825</v>
      </c>
      <c r="I844" s="21" t="s">
        <v>2835</v>
      </c>
      <c r="J844" s="21" t="s">
        <v>2218</v>
      </c>
      <c r="K844" s="20" t="s">
        <v>0</v>
      </c>
    </row>
    <row r="845" spans="1:11" x14ac:dyDescent="0.2">
      <c r="A845" s="30" t="s">
        <v>1569</v>
      </c>
      <c r="B845" s="21" t="s">
        <v>2086</v>
      </c>
      <c r="C845" s="21" t="s">
        <v>1664</v>
      </c>
      <c r="D845" s="21">
        <v>2009</v>
      </c>
      <c r="E845" s="21" t="s">
        <v>923</v>
      </c>
      <c r="F845" s="21" t="s">
        <v>127</v>
      </c>
      <c r="G845" s="21" t="str">
        <f>HYPERLINK("http://dx.doi.org/10.1111/j.1530-9290.2009.00143.x","http://dx.doi.org/10.1111/j.1530-9290.2009.00143.x")</f>
        <v>http://dx.doi.org/10.1111/j.1530-9290.2009.00143.x</v>
      </c>
      <c r="H845" s="21" t="s">
        <v>2826</v>
      </c>
      <c r="I845" s="21" t="s">
        <v>2835</v>
      </c>
      <c r="J845" s="21" t="s">
        <v>2214</v>
      </c>
      <c r="K845" s="20" t="s">
        <v>0</v>
      </c>
    </row>
    <row r="846" spans="1:11" x14ac:dyDescent="0.2">
      <c r="A846" s="30" t="s">
        <v>1569</v>
      </c>
      <c r="B846" s="21" t="s">
        <v>2086</v>
      </c>
      <c r="C846" s="21" t="s">
        <v>1530</v>
      </c>
      <c r="D846" s="21">
        <v>2011</v>
      </c>
      <c r="E846" s="21" t="s">
        <v>1034</v>
      </c>
      <c r="F846" s="21" t="s">
        <v>2087</v>
      </c>
      <c r="G846" s="21" t="str">
        <f>HYPERLINK("http://dx.doi.org/10.1080/1573062X.2011.553684","http://dx.doi.org/10.1080/1573062X.2011.553684")</f>
        <v>http://dx.doi.org/10.1080/1573062X.2011.553684</v>
      </c>
      <c r="H846" s="21" t="s">
        <v>2826</v>
      </c>
      <c r="I846" s="21" t="s">
        <v>2835</v>
      </c>
      <c r="J846" s="21" t="s">
        <v>2214</v>
      </c>
      <c r="K846" s="20" t="s">
        <v>0</v>
      </c>
    </row>
    <row r="847" spans="1:11" x14ac:dyDescent="0.2">
      <c r="A847" s="30" t="s">
        <v>1569</v>
      </c>
      <c r="B847" s="21" t="s">
        <v>2009</v>
      </c>
      <c r="C847" s="21" t="s">
        <v>1529</v>
      </c>
      <c r="D847" s="21">
        <v>2014</v>
      </c>
      <c r="E847" s="21" t="s">
        <v>931</v>
      </c>
      <c r="F847" s="21" t="s">
        <v>1751</v>
      </c>
      <c r="G847" s="21" t="str">
        <f>HYPERLINK("http://dx.doi.org/10.1016/j.watres.2014.05.004","http://dx.doi.org/10.1016/j.watres.2014.05.004")</f>
        <v>http://dx.doi.org/10.1016/j.watres.2014.05.004</v>
      </c>
      <c r="H847" s="21" t="s">
        <v>2826</v>
      </c>
      <c r="I847" s="21" t="s">
        <v>2835</v>
      </c>
      <c r="J847" s="21" t="s">
        <v>2214</v>
      </c>
      <c r="K847" s="20" t="s">
        <v>0</v>
      </c>
    </row>
    <row r="848" spans="1:11" x14ac:dyDescent="0.2">
      <c r="A848" s="30" t="s">
        <v>1569</v>
      </c>
      <c r="B848" s="21" t="s">
        <v>2092</v>
      </c>
      <c r="C848" s="21" t="s">
        <v>1531</v>
      </c>
      <c r="D848" s="21">
        <v>2010</v>
      </c>
      <c r="E848" s="21" t="s">
        <v>926</v>
      </c>
      <c r="F848" s="21" t="s">
        <v>209</v>
      </c>
      <c r="G848" s="21" t="str">
        <f>HYPERLINK("http://dx.doi.org/10.1007/s11367-009-0143-z","http://dx.doi.org/10.1007/s11367-009-0143-z")</f>
        <v>http://dx.doi.org/10.1007/s11367-009-0143-z</v>
      </c>
      <c r="H848" s="21" t="s">
        <v>2826</v>
      </c>
      <c r="I848" s="21" t="s">
        <v>2835</v>
      </c>
      <c r="J848" s="21" t="s">
        <v>2218</v>
      </c>
      <c r="K848" s="20" t="s">
        <v>0</v>
      </c>
    </row>
    <row r="849" spans="1:11" x14ac:dyDescent="0.2">
      <c r="A849" s="30" t="s">
        <v>1569</v>
      </c>
      <c r="B849" s="21" t="s">
        <v>2062</v>
      </c>
      <c r="C849" s="21" t="s">
        <v>1657</v>
      </c>
      <c r="D849" s="21">
        <v>2012</v>
      </c>
      <c r="E849" s="21" t="s">
        <v>924</v>
      </c>
      <c r="F849" s="21" t="s">
        <v>357</v>
      </c>
      <c r="G849" s="21" t="str">
        <f>HYPERLINK("http://dx.doi.org/10.1021/es204155g","http://dx.doi.org/10.1021/es204155g")</f>
        <v>http://dx.doi.org/10.1021/es204155g</v>
      </c>
      <c r="H849" s="21" t="s">
        <v>2826</v>
      </c>
      <c r="I849" s="21" t="s">
        <v>2900</v>
      </c>
      <c r="J849" s="21" t="s">
        <v>2828</v>
      </c>
      <c r="K849" s="20" t="s">
        <v>0</v>
      </c>
    </row>
    <row r="850" spans="1:11" x14ac:dyDescent="0.2">
      <c r="A850" s="30" t="s">
        <v>1569</v>
      </c>
      <c r="B850" s="21" t="s">
        <v>2075</v>
      </c>
      <c r="C850" s="21" t="s">
        <v>1532</v>
      </c>
      <c r="D850" s="21">
        <v>2011</v>
      </c>
      <c r="E850" s="21" t="s">
        <v>925</v>
      </c>
      <c r="F850" s="21" t="s">
        <v>56</v>
      </c>
      <c r="G850" s="21" t="str">
        <f>HYPERLINK("http://dx.doi.org/10.1016/j.enpol.2010.09.026","http://dx.doi.org/10.1016/j.enpol.2010.09.026")</f>
        <v>http://dx.doi.org/10.1016/j.enpol.2010.09.026</v>
      </c>
      <c r="H850" s="21" t="s">
        <v>2825</v>
      </c>
      <c r="I850" s="21" t="s">
        <v>2835</v>
      </c>
      <c r="J850" s="21" t="s">
        <v>2265</v>
      </c>
      <c r="K850" s="20" t="s">
        <v>0</v>
      </c>
    </row>
    <row r="851" spans="1:11" x14ac:dyDescent="0.2">
      <c r="A851" s="30" t="s">
        <v>1569</v>
      </c>
      <c r="B851" s="21" t="s">
        <v>2113</v>
      </c>
      <c r="C851" s="21" t="s">
        <v>1533</v>
      </c>
      <c r="D851" s="21">
        <v>2007</v>
      </c>
      <c r="E851" s="21" t="s">
        <v>925</v>
      </c>
      <c r="F851" s="21" t="s">
        <v>2114</v>
      </c>
      <c r="G851" s="21" t="str">
        <f>HYPERLINK("http://dx.doi.org/10.1016/S1750-5836(07)00024-2","http://dx.doi.org/10.1016/S1750-5836(07)00024-2")</f>
        <v>http://dx.doi.org/10.1016/S1750-5836(07)00024-2</v>
      </c>
      <c r="H851" s="21" t="s">
        <v>2825</v>
      </c>
      <c r="I851" s="21" t="s">
        <v>2209</v>
      </c>
      <c r="J851" s="21" t="s">
        <v>2872</v>
      </c>
      <c r="K851" s="20" t="s">
        <v>0</v>
      </c>
    </row>
    <row r="852" spans="1:11" x14ac:dyDescent="0.2">
      <c r="A852" s="30" t="s">
        <v>1569</v>
      </c>
      <c r="B852" s="21" t="s">
        <v>1927</v>
      </c>
      <c r="C852" s="21" t="s">
        <v>1643</v>
      </c>
      <c r="D852" s="21">
        <v>2016</v>
      </c>
      <c r="E852" s="21" t="s">
        <v>925</v>
      </c>
      <c r="F852" s="21" t="s">
        <v>144</v>
      </c>
      <c r="G852" s="21" t="str">
        <f>HYPERLINK("http://dx.doi.org/10.1016/j.jclepro.2016.02.089","http://dx.doi.org/10.1016/j.jclepro.2016.02.089")</f>
        <v>http://dx.doi.org/10.1016/j.jclepro.2016.02.089</v>
      </c>
      <c r="H852" s="21" t="s">
        <v>2826</v>
      </c>
      <c r="I852" s="21" t="s">
        <v>2832</v>
      </c>
      <c r="J852" s="21" t="s">
        <v>2847</v>
      </c>
      <c r="K852" s="20" t="s">
        <v>0</v>
      </c>
    </row>
    <row r="853" spans="1:11" x14ac:dyDescent="0.2">
      <c r="A853" s="30" t="s">
        <v>1569</v>
      </c>
      <c r="B853" s="21" t="s">
        <v>2102</v>
      </c>
      <c r="C853" s="21" t="s">
        <v>1534</v>
      </c>
      <c r="D853" s="21">
        <v>2008</v>
      </c>
      <c r="E853" s="21" t="s">
        <v>924</v>
      </c>
      <c r="F853" s="21" t="s">
        <v>357</v>
      </c>
      <c r="G853" s="21" t="str">
        <f>HYPERLINK("http://dx.doi.org/10.1021/es071345l","http://dx.doi.org/10.1021/es071345l")</f>
        <v>http://dx.doi.org/10.1021/es071345l</v>
      </c>
      <c r="H853" s="21" t="s">
        <v>2826</v>
      </c>
      <c r="I853" s="21" t="s">
        <v>2832</v>
      </c>
      <c r="J853" s="21" t="s">
        <v>2847</v>
      </c>
      <c r="K853" s="20" t="s">
        <v>0</v>
      </c>
    </row>
    <row r="854" spans="1:11" x14ac:dyDescent="0.2">
      <c r="A854" s="30" t="s">
        <v>2821</v>
      </c>
      <c r="B854" s="21" t="s">
        <v>2329</v>
      </c>
      <c r="C854" s="21" t="s">
        <v>2333</v>
      </c>
      <c r="D854" s="21">
        <v>2025</v>
      </c>
      <c r="E854" s="21" t="s">
        <v>41</v>
      </c>
      <c r="F854" s="21" t="s">
        <v>54</v>
      </c>
      <c r="G854" s="21" t="str">
        <f>HYPERLINK("http://dx.doi.org/10.3390/su17051849","http://dx.doi.org/10.3390/su17051849")</f>
        <v>http://dx.doi.org/10.3390/su17051849</v>
      </c>
      <c r="H854" s="21" t="s">
        <v>2826</v>
      </c>
      <c r="I854" s="21" t="s">
        <v>2835</v>
      </c>
      <c r="J854" s="21" t="s">
        <v>2218</v>
      </c>
      <c r="K854" s="20" t="s">
        <v>0</v>
      </c>
    </row>
    <row r="855" spans="1:11" x14ac:dyDescent="0.2">
      <c r="A855" s="30" t="s">
        <v>2821</v>
      </c>
      <c r="B855" s="21" t="s">
        <v>250</v>
      </c>
      <c r="C855" s="21" t="s">
        <v>251</v>
      </c>
      <c r="D855" s="21">
        <v>2022</v>
      </c>
      <c r="E855" s="21" t="s">
        <v>929</v>
      </c>
      <c r="F855" s="21" t="s">
        <v>252</v>
      </c>
      <c r="G855" s="21" t="str">
        <f>HYPERLINK("http://dx.doi.org/10.1007/s12155-021-10323-y","http://dx.doi.org/10.1007/s12155-021-10323-y")</f>
        <v>http://dx.doi.org/10.1007/s12155-021-10323-y</v>
      </c>
      <c r="H855" s="21" t="s">
        <v>2826</v>
      </c>
      <c r="I855" s="21" t="s">
        <v>2835</v>
      </c>
      <c r="J855" s="21" t="s">
        <v>2218</v>
      </c>
      <c r="K855" s="20" t="s">
        <v>0</v>
      </c>
    </row>
    <row r="856" spans="1:11" x14ac:dyDescent="0.2">
      <c r="A856" s="30" t="s">
        <v>1569</v>
      </c>
      <c r="B856" s="21" t="s">
        <v>1918</v>
      </c>
      <c r="C856" s="21" t="s">
        <v>62</v>
      </c>
      <c r="D856" s="21">
        <v>2016</v>
      </c>
      <c r="E856" s="21" t="s">
        <v>925</v>
      </c>
      <c r="F856" s="21" t="s">
        <v>144</v>
      </c>
      <c r="G856" s="21" t="str">
        <f>HYPERLINK("http://dx.doi.org/10.1016/j.jclepro.2016.04.066","http://dx.doi.org/10.1016/j.jclepro.2016.04.066")</f>
        <v>http://dx.doi.org/10.1016/j.jclepro.2016.04.066</v>
      </c>
      <c r="H856" s="21" t="s">
        <v>2826</v>
      </c>
      <c r="I856" s="21" t="s">
        <v>2835</v>
      </c>
      <c r="J856" s="21" t="s">
        <v>2218</v>
      </c>
      <c r="K856" s="20" t="s">
        <v>0</v>
      </c>
    </row>
    <row r="857" spans="1:11" x14ac:dyDescent="0.2">
      <c r="A857" s="30" t="s">
        <v>1569</v>
      </c>
      <c r="B857" s="21" t="s">
        <v>2191</v>
      </c>
      <c r="C857" s="21" t="s">
        <v>13</v>
      </c>
      <c r="D857" s="21">
        <v>2017</v>
      </c>
      <c r="E857" s="21" t="s">
        <v>926</v>
      </c>
      <c r="F857" s="21" t="s">
        <v>209</v>
      </c>
      <c r="G857" s="21" t="str">
        <f>HYPERLINK("http://dx.doi.org/10.1007/s11367-017-1270-6","http://dx.doi.org/10.1007/s11367-017-1270-6")</f>
        <v>http://dx.doi.org/10.1007/s11367-017-1270-6</v>
      </c>
      <c r="H857" s="21" t="s">
        <v>2826</v>
      </c>
      <c r="I857" s="21" t="s">
        <v>2835</v>
      </c>
      <c r="J857" s="21" t="s">
        <v>2218</v>
      </c>
      <c r="K857" s="20" t="s">
        <v>0</v>
      </c>
    </row>
    <row r="858" spans="1:11" x14ac:dyDescent="0.2">
      <c r="A858" s="30" t="s">
        <v>2821</v>
      </c>
      <c r="B858" s="21" t="s">
        <v>1162</v>
      </c>
      <c r="C858" s="21" t="s">
        <v>1092</v>
      </c>
      <c r="D858" s="21">
        <v>2024</v>
      </c>
      <c r="E858" s="21" t="s">
        <v>993</v>
      </c>
      <c r="F858" s="21" t="s">
        <v>1163</v>
      </c>
      <c r="G858" s="21" t="str">
        <f>HYPERLINK("http://dx.doi.org/10.1016/j.envres.2023.117473","http://dx.doi.org/10.1016/j.envres.2023.117473")</f>
        <v>http://dx.doi.org/10.1016/j.envres.2023.117473</v>
      </c>
      <c r="H858" s="21" t="s">
        <v>2826</v>
      </c>
      <c r="I858" s="21" t="s">
        <v>2900</v>
      </c>
      <c r="J858" s="21" t="s">
        <v>2828</v>
      </c>
      <c r="K858" s="20" t="s">
        <v>0</v>
      </c>
    </row>
    <row r="859" spans="1:11" x14ac:dyDescent="0.2">
      <c r="A859" s="30" t="s">
        <v>2820</v>
      </c>
      <c r="B859" s="21" t="s">
        <v>1213</v>
      </c>
      <c r="C859" s="21" t="s">
        <v>115</v>
      </c>
      <c r="D859" s="21">
        <v>2018</v>
      </c>
      <c r="E859" s="21" t="s">
        <v>928</v>
      </c>
      <c r="F859" s="21" t="s">
        <v>173</v>
      </c>
      <c r="G859" s="21" t="str">
        <f>HYPERLINK("http://dx.doi.org/10.1016/j.spc.2018.07.001","http://dx.doi.org/10.1016/j.spc.2018.07.001")</f>
        <v>http://dx.doi.org/10.1016/j.spc.2018.07.001</v>
      </c>
      <c r="H859" s="21" t="s">
        <v>1230</v>
      </c>
      <c r="I859" s="21" t="s">
        <v>2262</v>
      </c>
      <c r="J859" s="21" t="s">
        <v>2262</v>
      </c>
      <c r="K859" s="20" t="s">
        <v>0</v>
      </c>
    </row>
    <row r="860" spans="1:11" x14ac:dyDescent="0.2">
      <c r="A860" s="30" t="s">
        <v>2821</v>
      </c>
      <c r="B860" s="21" t="s">
        <v>470</v>
      </c>
      <c r="C860" s="21" t="s">
        <v>117</v>
      </c>
      <c r="D860" s="21">
        <v>2017</v>
      </c>
      <c r="E860" s="21" t="s">
        <v>925</v>
      </c>
      <c r="F860" s="21" t="s">
        <v>56</v>
      </c>
      <c r="G860" s="21" t="str">
        <f>HYPERLINK("http://dx.doi.org/10.1016/j.enpol.2017.03.026","http://dx.doi.org/10.1016/j.enpol.2017.03.026")</f>
        <v>http://dx.doi.org/10.1016/j.enpol.2017.03.026</v>
      </c>
      <c r="H860" s="21" t="s">
        <v>1230</v>
      </c>
      <c r="I860" s="21" t="s">
        <v>2262</v>
      </c>
      <c r="J860" s="21" t="s">
        <v>2262</v>
      </c>
      <c r="K860" s="20" t="s">
        <v>0</v>
      </c>
    </row>
    <row r="861" spans="1:11" x14ac:dyDescent="0.2">
      <c r="A861" s="30" t="s">
        <v>2821</v>
      </c>
      <c r="B861" s="21" t="s">
        <v>643</v>
      </c>
      <c r="C861" s="21" t="s">
        <v>644</v>
      </c>
      <c r="D861" s="21">
        <v>2024</v>
      </c>
      <c r="E861" s="21" t="s">
        <v>925</v>
      </c>
      <c r="F861" s="21" t="s">
        <v>167</v>
      </c>
      <c r="G861" s="21" t="str">
        <f>HYPERLINK("http://dx.doi.org/10.1016/j.apenergy.2024.123679","http://dx.doi.org/10.1016/j.apenergy.2024.123679")</f>
        <v>http://dx.doi.org/10.1016/j.apenergy.2024.123679</v>
      </c>
      <c r="H861" s="21" t="s">
        <v>2825</v>
      </c>
      <c r="I861" s="21" t="s">
        <v>2835</v>
      </c>
      <c r="J861" s="21" t="s">
        <v>2217</v>
      </c>
      <c r="K861" s="20" t="s">
        <v>0</v>
      </c>
    </row>
    <row r="862" spans="1:11" x14ac:dyDescent="0.2">
      <c r="A862" s="30" t="s">
        <v>1569</v>
      </c>
      <c r="B862" s="21" t="s">
        <v>2107</v>
      </c>
      <c r="C862" s="21" t="s">
        <v>1535</v>
      </c>
      <c r="D862" s="21">
        <v>2008</v>
      </c>
      <c r="E862" s="21" t="s">
        <v>925</v>
      </c>
      <c r="F862" s="21" t="s">
        <v>144</v>
      </c>
      <c r="G862" s="21" t="str">
        <f>HYPERLINK("http://dx.doi.org/10.1016/j.jclepro.2007.04.017","http://dx.doi.org/10.1016/j.jclepro.2007.04.017")</f>
        <v>http://dx.doi.org/10.1016/j.jclepro.2007.04.017</v>
      </c>
      <c r="H862" s="21" t="s">
        <v>2826</v>
      </c>
      <c r="I862" s="21" t="s">
        <v>2835</v>
      </c>
      <c r="J862" s="21" t="s">
        <v>2218</v>
      </c>
      <c r="K862" s="20" t="s">
        <v>0</v>
      </c>
    </row>
    <row r="863" spans="1:11" ht="13.9" customHeight="1" x14ac:dyDescent="0.2">
      <c r="A863" s="30" t="s">
        <v>1569</v>
      </c>
      <c r="B863" s="21" t="s">
        <v>1758</v>
      </c>
      <c r="C863" s="21" t="s">
        <v>1536</v>
      </c>
      <c r="D863" s="21">
        <v>2018</v>
      </c>
      <c r="E863" s="21" t="s">
        <v>925</v>
      </c>
      <c r="F863" s="21" t="s">
        <v>167</v>
      </c>
      <c r="G863" s="21" t="str">
        <f>HYPERLINK("http://dx.doi.org/10.1016/j.apenergy.2018.06.149","http://dx.doi.org/10.1016/j.apenergy.2018.06.149")</f>
        <v>http://dx.doi.org/10.1016/j.apenergy.2018.06.149</v>
      </c>
      <c r="H863" s="21" t="s">
        <v>2826</v>
      </c>
      <c r="I863" s="21" t="s">
        <v>2835</v>
      </c>
      <c r="J863" s="21" t="s">
        <v>2215</v>
      </c>
      <c r="K863" s="20" t="s">
        <v>0</v>
      </c>
    </row>
    <row r="864" spans="1:11" x14ac:dyDescent="0.2">
      <c r="A864" s="30" t="s">
        <v>1569</v>
      </c>
      <c r="B864" s="21" t="s">
        <v>1253</v>
      </c>
      <c r="C864" s="21" t="s">
        <v>1254</v>
      </c>
      <c r="D864" s="21">
        <v>2011</v>
      </c>
      <c r="E864" s="21" t="s">
        <v>924</v>
      </c>
      <c r="F864" s="21" t="s">
        <v>357</v>
      </c>
      <c r="G864" s="21" t="str">
        <f>HYPERLINK("http://dx.doi.org/10.1021/es2001248","http://dx.doi.org/10.1021/es2001248")</f>
        <v>http://dx.doi.org/10.1021/es2001248</v>
      </c>
      <c r="H864" s="21" t="s">
        <v>2826</v>
      </c>
      <c r="I864" s="21" t="s">
        <v>2835</v>
      </c>
      <c r="J864" s="21" t="s">
        <v>2218</v>
      </c>
      <c r="K864" s="20" t="s">
        <v>0</v>
      </c>
    </row>
    <row r="865" spans="1:11" x14ac:dyDescent="0.2">
      <c r="A865" s="30" t="s">
        <v>2821</v>
      </c>
      <c r="B865" s="21" t="s">
        <v>1123</v>
      </c>
      <c r="C865" s="21" t="s">
        <v>1079</v>
      </c>
      <c r="D865" s="21">
        <v>2021</v>
      </c>
      <c r="E865" s="21" t="s">
        <v>923</v>
      </c>
      <c r="F865" s="21" t="s">
        <v>1124</v>
      </c>
      <c r="G865" s="21" t="str">
        <f>HYPERLINK("http://dx.doi.org/10.1111/mmi.14682","http://dx.doi.org/10.1111/mmi.14682")</f>
        <v>http://dx.doi.org/10.1111/mmi.14682</v>
      </c>
      <c r="H865" s="21" t="s">
        <v>2826</v>
      </c>
      <c r="I865" s="21" t="s">
        <v>2836</v>
      </c>
      <c r="J865" s="21" t="s">
        <v>2830</v>
      </c>
      <c r="K865" s="20" t="s">
        <v>0</v>
      </c>
    </row>
    <row r="866" spans="1:11" x14ac:dyDescent="0.2">
      <c r="A866" s="30" t="s">
        <v>1569</v>
      </c>
      <c r="B866" s="21" t="s">
        <v>1894</v>
      </c>
      <c r="C866" s="21" t="s">
        <v>1537</v>
      </c>
      <c r="D866" s="21">
        <v>2016</v>
      </c>
      <c r="E866" s="21" t="s">
        <v>925</v>
      </c>
      <c r="F866" s="21" t="s">
        <v>167</v>
      </c>
      <c r="G866" s="21" t="str">
        <f>HYPERLINK("http://dx.doi.org/10.1016/j.apenergy.2016.10.013","http://dx.doi.org/10.1016/j.apenergy.2016.10.013")</f>
        <v>http://dx.doi.org/10.1016/j.apenergy.2016.10.013</v>
      </c>
      <c r="H866" s="21" t="s">
        <v>2825</v>
      </c>
      <c r="I866" s="21" t="s">
        <v>2836</v>
      </c>
      <c r="J866" s="21" t="s">
        <v>2830</v>
      </c>
      <c r="K866" s="20" t="s">
        <v>0</v>
      </c>
    </row>
    <row r="867" spans="1:11" x14ac:dyDescent="0.2">
      <c r="A867" s="30" t="s">
        <v>2821</v>
      </c>
      <c r="B867" s="21" t="s">
        <v>439</v>
      </c>
      <c r="C867" s="21" t="s">
        <v>440</v>
      </c>
      <c r="D867" s="21">
        <v>2024</v>
      </c>
      <c r="E867" s="21" t="s">
        <v>964</v>
      </c>
      <c r="F867" s="21" t="s">
        <v>441</v>
      </c>
      <c r="G867" s="21" t="str">
        <f>HYPERLINK("http://dx.doi.org/10.1016/j.eiar.2024.107516","http://dx.doi.org/10.1016/j.eiar.2024.107516")</f>
        <v>http://dx.doi.org/10.1016/j.eiar.2024.107516</v>
      </c>
      <c r="H867" s="21" t="s">
        <v>2825</v>
      </c>
      <c r="I867" s="21" t="s">
        <v>2900</v>
      </c>
      <c r="J867" s="21" t="s">
        <v>2828</v>
      </c>
      <c r="K867" s="20" t="s">
        <v>0</v>
      </c>
    </row>
    <row r="868" spans="1:11" x14ac:dyDescent="0.2">
      <c r="A868" s="30" t="s">
        <v>1569</v>
      </c>
      <c r="B868" s="21" t="s">
        <v>1963</v>
      </c>
      <c r="C868" s="21" t="s">
        <v>1538</v>
      </c>
      <c r="D868" s="21">
        <v>2015</v>
      </c>
      <c r="E868" s="21" t="s">
        <v>41</v>
      </c>
      <c r="F868" s="21" t="s">
        <v>54</v>
      </c>
      <c r="G868" s="21" t="str">
        <f>HYPERLINK("http://dx.doi.org/10.3390/su71115772","http://dx.doi.org/10.3390/su71115772")</f>
        <v>http://dx.doi.org/10.3390/su71115772</v>
      </c>
      <c r="H868" s="21" t="s">
        <v>2825</v>
      </c>
      <c r="I868" s="21" t="s">
        <v>2835</v>
      </c>
      <c r="J868" s="21" t="s">
        <v>2218</v>
      </c>
      <c r="K868" s="20" t="s">
        <v>0</v>
      </c>
    </row>
    <row r="869" spans="1:11" x14ac:dyDescent="0.2">
      <c r="A869" s="30" t="s">
        <v>2821</v>
      </c>
      <c r="B869" s="21" t="s">
        <v>1106</v>
      </c>
      <c r="C869" s="21" t="s">
        <v>1068</v>
      </c>
      <c r="D869" s="21">
        <v>2024</v>
      </c>
      <c r="E869" s="21" t="s">
        <v>925</v>
      </c>
      <c r="F869" s="21" t="s">
        <v>144</v>
      </c>
      <c r="G869" s="21" t="str">
        <f>HYPERLINK("http://dx.doi.org/10.1016/j.jclepro.2023.139839","http://dx.doi.org/10.1016/j.jclepro.2023.139839")</f>
        <v>http://dx.doi.org/10.1016/j.jclepro.2023.139839</v>
      </c>
      <c r="H869" s="21" t="s">
        <v>2826</v>
      </c>
      <c r="I869" s="21" t="s">
        <v>2900</v>
      </c>
      <c r="J869" s="21" t="s">
        <v>2828</v>
      </c>
      <c r="K869" s="20" t="s">
        <v>0</v>
      </c>
    </row>
    <row r="870" spans="1:11" x14ac:dyDescent="0.2">
      <c r="A870" s="30" t="s">
        <v>1569</v>
      </c>
      <c r="B870" s="21" t="s">
        <v>2036</v>
      </c>
      <c r="C870" s="21" t="s">
        <v>1539</v>
      </c>
      <c r="D870" s="21">
        <v>2014</v>
      </c>
      <c r="E870" s="21" t="s">
        <v>930</v>
      </c>
      <c r="F870" s="21" t="s">
        <v>857</v>
      </c>
      <c r="G870" s="21" t="str">
        <f>HYPERLINK("http://dx.doi.org/10.1039/c4ra05056h","http://dx.doi.org/10.1039/c4ra05056h")</f>
        <v>http://dx.doi.org/10.1039/c4ra05056h</v>
      </c>
      <c r="H870" s="21" t="s">
        <v>2826</v>
      </c>
      <c r="I870" s="21" t="s">
        <v>2832</v>
      </c>
      <c r="J870" s="21" t="s">
        <v>2847</v>
      </c>
      <c r="K870" s="20" t="s">
        <v>0</v>
      </c>
    </row>
    <row r="871" spans="1:11" x14ac:dyDescent="0.2">
      <c r="A871" s="30" t="s">
        <v>1569</v>
      </c>
      <c r="B871" s="21" t="s">
        <v>1262</v>
      </c>
      <c r="C871" s="21" t="s">
        <v>1263</v>
      </c>
      <c r="D871" s="21">
        <v>2013</v>
      </c>
      <c r="E871" s="21" t="s">
        <v>931</v>
      </c>
      <c r="F871" s="21" t="s">
        <v>306</v>
      </c>
      <c r="G871" s="21" t="str">
        <f>HYPERLINK("http://dx.doi.org/10.1016/j.rser.2013.08.031","http://dx.doi.org/10.1016/j.rser.2013.08.031")</f>
        <v>http://dx.doi.org/10.1016/j.rser.2013.08.031</v>
      </c>
      <c r="H871" s="21" t="s">
        <v>2826</v>
      </c>
      <c r="I871" s="21" t="s">
        <v>2835</v>
      </c>
      <c r="J871" s="21" t="s">
        <v>2218</v>
      </c>
      <c r="K871" s="20" t="s">
        <v>0</v>
      </c>
    </row>
    <row r="872" spans="1:11" x14ac:dyDescent="0.2">
      <c r="A872" s="30" t="s">
        <v>1569</v>
      </c>
      <c r="B872" s="21" t="s">
        <v>2002</v>
      </c>
      <c r="C872" s="21" t="s">
        <v>1540</v>
      </c>
      <c r="D872" s="21">
        <v>2014</v>
      </c>
      <c r="E872" s="21" t="s">
        <v>931</v>
      </c>
      <c r="F872" s="21" t="s">
        <v>306</v>
      </c>
      <c r="G872" s="21" t="str">
        <f>HYPERLINK("http://dx.doi.org/10.1016/j.rser.2014.07.212","http://dx.doi.org/10.1016/j.rser.2014.07.212")</f>
        <v>http://dx.doi.org/10.1016/j.rser.2014.07.212</v>
      </c>
      <c r="H872" s="21" t="s">
        <v>2826</v>
      </c>
      <c r="I872" s="21" t="s">
        <v>2835</v>
      </c>
      <c r="J872" s="21" t="s">
        <v>2218</v>
      </c>
      <c r="K872" s="20" t="s">
        <v>0</v>
      </c>
    </row>
    <row r="873" spans="1:11" x14ac:dyDescent="0.2">
      <c r="A873" s="30" t="s">
        <v>2821</v>
      </c>
      <c r="B873" s="21" t="s">
        <v>1151</v>
      </c>
      <c r="C873" s="21" t="s">
        <v>1091</v>
      </c>
      <c r="D873" s="21">
        <v>2024</v>
      </c>
      <c r="E873" s="21" t="s">
        <v>41</v>
      </c>
      <c r="F873" s="21" t="s">
        <v>90</v>
      </c>
      <c r="G873" s="21" t="str">
        <f>HYPERLINK("http://dx.doi.org/10.3390/en17143548","http://dx.doi.org/10.3390/en17143548")</f>
        <v>http://dx.doi.org/10.3390/en17143548</v>
      </c>
      <c r="H873" s="21" t="s">
        <v>2826</v>
      </c>
      <c r="I873" s="21" t="s">
        <v>2900</v>
      </c>
      <c r="J873" s="21" t="s">
        <v>2828</v>
      </c>
      <c r="K873" s="20" t="s">
        <v>0</v>
      </c>
    </row>
    <row r="874" spans="1:11" x14ac:dyDescent="0.2">
      <c r="A874" s="30" t="s">
        <v>1569</v>
      </c>
      <c r="B874" s="21" t="s">
        <v>1897</v>
      </c>
      <c r="C874" s="21" t="s">
        <v>1543</v>
      </c>
      <c r="D874" s="21">
        <v>2016</v>
      </c>
      <c r="E874" s="21" t="s">
        <v>928</v>
      </c>
      <c r="F874" s="21" t="s">
        <v>1898</v>
      </c>
      <c r="G874" s="21" t="str">
        <f>HYPERLINK("http://dx.doi.org/10.1016/j.jhydrol.2016.10.019","http://dx.doi.org/10.1016/j.jhydrol.2016.10.019")</f>
        <v>http://dx.doi.org/10.1016/j.jhydrol.2016.10.019</v>
      </c>
      <c r="H874" s="21" t="s">
        <v>2826</v>
      </c>
      <c r="I874" s="21" t="s">
        <v>2835</v>
      </c>
      <c r="J874" s="21" t="s">
        <v>2214</v>
      </c>
      <c r="K874" s="20" t="s">
        <v>0</v>
      </c>
    </row>
    <row r="875" spans="1:11" x14ac:dyDescent="0.2">
      <c r="A875" s="30" t="s">
        <v>2821</v>
      </c>
      <c r="B875" s="21" t="s">
        <v>1125</v>
      </c>
      <c r="C875" s="21" t="s">
        <v>1076</v>
      </c>
      <c r="D875" s="21">
        <v>2024</v>
      </c>
      <c r="E875" s="21" t="s">
        <v>954</v>
      </c>
      <c r="F875" s="21" t="s">
        <v>1126</v>
      </c>
      <c r="G875" s="21" t="str">
        <f>HYPERLINK("http://dx.doi.org/10.3389/fenrg.2024.1412770","http://dx.doi.org/10.3389/fenrg.2024.1412770")</f>
        <v>http://dx.doi.org/10.3389/fenrg.2024.1412770</v>
      </c>
      <c r="H875" s="21" t="s">
        <v>2826</v>
      </c>
      <c r="I875" s="21" t="s">
        <v>2900</v>
      </c>
      <c r="J875" s="21" t="s">
        <v>2828</v>
      </c>
      <c r="K875" s="20" t="s">
        <v>0</v>
      </c>
    </row>
    <row r="876" spans="1:11" x14ac:dyDescent="0.2">
      <c r="A876" s="30" t="s">
        <v>1569</v>
      </c>
      <c r="B876" s="21" t="s">
        <v>2188</v>
      </c>
      <c r="C876" s="21" t="s">
        <v>1541</v>
      </c>
      <c r="D876" s="21">
        <v>2015</v>
      </c>
      <c r="E876" s="21" t="s">
        <v>925</v>
      </c>
      <c r="F876" s="21" t="s">
        <v>167</v>
      </c>
      <c r="G876" s="21" t="str">
        <f>HYPERLINK("http://dx.doi.org/10.1016/j.aPenergy.2015.01.107","http://dx.doi.org/10.1016/j.aPenergy.2015.01.107")</f>
        <v>http://dx.doi.org/10.1016/j.aPenergy.2015.01.107</v>
      </c>
      <c r="H876" s="21" t="s">
        <v>2826</v>
      </c>
      <c r="I876" s="21" t="s">
        <v>2835</v>
      </c>
      <c r="J876" s="21" t="s">
        <v>2218</v>
      </c>
      <c r="K876" s="20" t="s">
        <v>0</v>
      </c>
    </row>
    <row r="877" spans="1:11" x14ac:dyDescent="0.2">
      <c r="A877" s="30" t="s">
        <v>1569</v>
      </c>
      <c r="B877" s="21" t="s">
        <v>2045</v>
      </c>
      <c r="C877" s="21" t="s">
        <v>1542</v>
      </c>
      <c r="D877" s="21">
        <v>2013</v>
      </c>
      <c r="E877" s="21" t="s">
        <v>925</v>
      </c>
      <c r="F877" s="21" t="s">
        <v>56</v>
      </c>
      <c r="G877" s="21" t="str">
        <f>HYPERLINK("http://dx.doi.org/10.1016/j.enpol.2013.02.038","http://dx.doi.org/10.1016/j.enpol.2013.02.038")</f>
        <v>http://dx.doi.org/10.1016/j.enpol.2013.02.038</v>
      </c>
      <c r="H877" s="21" t="s">
        <v>2826</v>
      </c>
      <c r="I877" s="21" t="s">
        <v>2836</v>
      </c>
      <c r="J877" s="21" t="s">
        <v>2830</v>
      </c>
      <c r="K877" s="20" t="s">
        <v>0</v>
      </c>
    </row>
    <row r="878" spans="1:11" x14ac:dyDescent="0.2">
      <c r="A878" s="30" t="s">
        <v>1569</v>
      </c>
      <c r="B878" s="21" t="s">
        <v>1258</v>
      </c>
      <c r="C878" s="21" t="s">
        <v>1259</v>
      </c>
      <c r="D878" s="21">
        <v>2012</v>
      </c>
      <c r="E878" s="21" t="s">
        <v>923</v>
      </c>
      <c r="F878" s="21" t="s">
        <v>127</v>
      </c>
      <c r="G878" s="21" t="str">
        <f>HYPERLINK("http://dx.doi.org/10.1111/j.1530-9290.2012.00472.x","http://dx.doi.org/10.1111/j.1530-9290.2012.00472.x")</f>
        <v>http://dx.doi.org/10.1111/j.1530-9290.2012.00472.x</v>
      </c>
      <c r="H878" s="21" t="s">
        <v>2826</v>
      </c>
      <c r="I878" s="21" t="s">
        <v>2900</v>
      </c>
      <c r="J878" s="21" t="s">
        <v>2828</v>
      </c>
      <c r="K878" s="20" t="s">
        <v>0</v>
      </c>
    </row>
    <row r="879" spans="1:11" x14ac:dyDescent="0.2">
      <c r="A879" s="30" t="s">
        <v>1569</v>
      </c>
      <c r="B879" s="21" t="s">
        <v>1855</v>
      </c>
      <c r="C879" s="21" t="s">
        <v>1544</v>
      </c>
      <c r="D879" s="21">
        <v>2017</v>
      </c>
      <c r="E879" s="21" t="s">
        <v>926</v>
      </c>
      <c r="F879" s="21" t="s">
        <v>209</v>
      </c>
      <c r="G879" s="21" t="str">
        <f>HYPERLINK("http://dx.doi.org/10.1007/s11367-016-1215-5","http://dx.doi.org/10.1007/s11367-016-1215-5")</f>
        <v>http://dx.doi.org/10.1007/s11367-016-1215-5</v>
      </c>
      <c r="H879" s="21" t="s">
        <v>2826</v>
      </c>
      <c r="I879" s="21" t="s">
        <v>2835</v>
      </c>
      <c r="J879" s="21" t="s">
        <v>2218</v>
      </c>
      <c r="K879" s="20" t="s">
        <v>0</v>
      </c>
    </row>
    <row r="880" spans="1:11" x14ac:dyDescent="0.2">
      <c r="A880" s="30" t="s">
        <v>1569</v>
      </c>
      <c r="B880" s="21" t="s">
        <v>1922</v>
      </c>
      <c r="C880" s="21" t="s">
        <v>1545</v>
      </c>
      <c r="D880" s="21">
        <v>2016</v>
      </c>
      <c r="E880" s="21" t="s">
        <v>923</v>
      </c>
      <c r="F880" s="21" t="s">
        <v>127</v>
      </c>
      <c r="G880" s="21" t="str">
        <f>HYPERLINK("http://dx.doi.org/10.1111/jiec.12325","http://dx.doi.org/10.1111/jiec.12325")</f>
        <v>http://dx.doi.org/10.1111/jiec.12325</v>
      </c>
      <c r="H880" s="21" t="s">
        <v>2826</v>
      </c>
      <c r="I880" s="21" t="s">
        <v>2835</v>
      </c>
      <c r="J880" s="21" t="s">
        <v>2218</v>
      </c>
      <c r="K880" s="20" t="s">
        <v>0</v>
      </c>
    </row>
    <row r="881" spans="1:11" x14ac:dyDescent="0.2">
      <c r="A881" s="30" t="s">
        <v>2821</v>
      </c>
      <c r="B881" s="21" t="s">
        <v>455</v>
      </c>
      <c r="C881" s="21" t="s">
        <v>73</v>
      </c>
      <c r="D881" s="21">
        <v>2022</v>
      </c>
      <c r="E881" s="21" t="s">
        <v>931</v>
      </c>
      <c r="F881" s="21" t="s">
        <v>247</v>
      </c>
      <c r="G881" s="21" t="str">
        <f>HYPERLINK("http://dx.doi.org/10.1016/j.enconman.2022.116403","http://dx.doi.org/10.1016/j.enconman.2022.116403")</f>
        <v>http://dx.doi.org/10.1016/j.enconman.2022.116403</v>
      </c>
      <c r="H881" s="21" t="s">
        <v>2825</v>
      </c>
      <c r="I881" s="21" t="s">
        <v>2832</v>
      </c>
      <c r="J881" s="21" t="s">
        <v>2898</v>
      </c>
      <c r="K881" s="20" t="s">
        <v>0</v>
      </c>
    </row>
    <row r="882" spans="1:11" x14ac:dyDescent="0.2">
      <c r="A882" s="30" t="s">
        <v>2821</v>
      </c>
      <c r="B882" s="21" t="s">
        <v>421</v>
      </c>
      <c r="C882" s="21" t="s">
        <v>422</v>
      </c>
      <c r="D882" s="21">
        <v>2023</v>
      </c>
      <c r="E882" s="21" t="s">
        <v>928</v>
      </c>
      <c r="F882" s="21" t="s">
        <v>423</v>
      </c>
      <c r="G882" s="21" t="str">
        <f>HYPERLINK("http://dx.doi.org/10.1016/j.ecmx.2023.100418","http://dx.doi.org/10.1016/j.ecmx.2023.100418")</f>
        <v>http://dx.doi.org/10.1016/j.ecmx.2023.100418</v>
      </c>
      <c r="H882" s="21" t="s">
        <v>2825</v>
      </c>
      <c r="I882" s="21" t="s">
        <v>2832</v>
      </c>
      <c r="J882" s="21" t="s">
        <v>2898</v>
      </c>
      <c r="K882" s="20" t="s">
        <v>0</v>
      </c>
    </row>
    <row r="883" spans="1:11" x14ac:dyDescent="0.2">
      <c r="A883" s="30" t="s">
        <v>2821</v>
      </c>
      <c r="B883" s="21" t="s">
        <v>390</v>
      </c>
      <c r="C883" s="21" t="s">
        <v>69</v>
      </c>
      <c r="D883" s="21">
        <v>2022</v>
      </c>
      <c r="E883" s="21" t="s">
        <v>925</v>
      </c>
      <c r="F883" s="21" t="s">
        <v>144</v>
      </c>
      <c r="G883" s="21" t="str">
        <f>HYPERLINK("http://dx.doi.org/10.1016/j.jclepro.2022.132662","http://dx.doi.org/10.1016/j.jclepro.2022.132662")</f>
        <v>http://dx.doi.org/10.1016/j.jclepro.2022.132662</v>
      </c>
      <c r="H883" s="21" t="s">
        <v>2825</v>
      </c>
      <c r="I883" s="21" t="s">
        <v>2835</v>
      </c>
      <c r="J883" s="21" t="s">
        <v>2284</v>
      </c>
      <c r="K883" s="20" t="s">
        <v>0</v>
      </c>
    </row>
    <row r="884" spans="1:11" x14ac:dyDescent="0.2">
      <c r="A884" s="30" t="s">
        <v>2822</v>
      </c>
      <c r="B884" s="21" t="s">
        <v>1232</v>
      </c>
      <c r="C884" s="21" t="s">
        <v>7</v>
      </c>
      <c r="D884" s="21">
        <v>2024</v>
      </c>
      <c r="E884" s="21" t="s">
        <v>930</v>
      </c>
      <c r="F884" s="21" t="s">
        <v>220</v>
      </c>
      <c r="G884" s="21" t="str">
        <f>HYPERLINK("http://dx.doi.org/10.1039/d3ee03875k","http://dx.doi.org/10.1039/d3ee03875k")</f>
        <v>http://dx.doi.org/10.1039/d3ee03875k</v>
      </c>
      <c r="H884" s="21" t="s">
        <v>1230</v>
      </c>
      <c r="I884" s="21" t="s">
        <v>2262</v>
      </c>
      <c r="J884" s="21" t="s">
        <v>2262</v>
      </c>
      <c r="K884" s="20" t="s">
        <v>0</v>
      </c>
    </row>
    <row r="885" spans="1:11" x14ac:dyDescent="0.2">
      <c r="A885" s="30" t="s">
        <v>1569</v>
      </c>
      <c r="B885" s="21" t="s">
        <v>1820</v>
      </c>
      <c r="C885" s="21" t="s">
        <v>1546</v>
      </c>
      <c r="D885" s="21">
        <v>2017</v>
      </c>
      <c r="E885" s="21" t="s">
        <v>925</v>
      </c>
      <c r="F885" s="21" t="s">
        <v>144</v>
      </c>
      <c r="G885" s="21" t="str">
        <f>HYPERLINK("http://dx.doi.org/10.1016/j.jclepro.2017.09.015","http://dx.doi.org/10.1016/j.jclepro.2017.09.015")</f>
        <v>http://dx.doi.org/10.1016/j.jclepro.2017.09.015</v>
      </c>
      <c r="H885" s="21" t="s">
        <v>2826</v>
      </c>
      <c r="I885" s="21" t="s">
        <v>2835</v>
      </c>
      <c r="J885" s="21" t="s">
        <v>2214</v>
      </c>
      <c r="K885" s="20" t="s">
        <v>0</v>
      </c>
    </row>
    <row r="886" spans="1:11" x14ac:dyDescent="0.2">
      <c r="A886" s="30" t="s">
        <v>2821</v>
      </c>
      <c r="B886" s="21" t="s">
        <v>317</v>
      </c>
      <c r="C886" s="21" t="s">
        <v>23</v>
      </c>
      <c r="D886" s="21">
        <v>2023</v>
      </c>
      <c r="E886" s="21" t="s">
        <v>931</v>
      </c>
      <c r="F886" s="21" t="s">
        <v>138</v>
      </c>
      <c r="G886" s="21" t="str">
        <f>HYPERLINK("http://dx.doi.org/10.1016/j.ijhydene.2022.11.044","http://dx.doi.org/10.1016/j.ijhydene.2022.11.044")</f>
        <v>http://dx.doi.org/10.1016/j.ijhydene.2022.11.044</v>
      </c>
      <c r="H886" s="21" t="s">
        <v>1230</v>
      </c>
      <c r="I886" s="21" t="s">
        <v>2262</v>
      </c>
      <c r="J886" s="21" t="s">
        <v>2262</v>
      </c>
      <c r="K886" s="20" t="s">
        <v>0</v>
      </c>
    </row>
    <row r="887" spans="1:11" x14ac:dyDescent="0.2">
      <c r="A887" s="30" t="s">
        <v>1569</v>
      </c>
      <c r="B887" s="21" t="s">
        <v>1943</v>
      </c>
      <c r="C887" s="21" t="s">
        <v>1547</v>
      </c>
      <c r="D887" s="21">
        <v>2016</v>
      </c>
      <c r="E887" s="21" t="s">
        <v>1944</v>
      </c>
      <c r="F887" s="21" t="s">
        <v>294</v>
      </c>
      <c r="G887" s="21" t="str">
        <f>HYPERLINK("http://dx.doi.org/10.1088/1748-9326/11/2/024009","http://dx.doi.org/10.1088/1748-9326/11/2/024009")</f>
        <v>http://dx.doi.org/10.1088/1748-9326/11/2/024009</v>
      </c>
      <c r="H887" s="21" t="s">
        <v>2826</v>
      </c>
      <c r="I887" s="21" t="s">
        <v>2835</v>
      </c>
      <c r="J887" s="21" t="s">
        <v>2218</v>
      </c>
      <c r="K887" s="20" t="s">
        <v>0</v>
      </c>
    </row>
    <row r="888" spans="1:11" x14ac:dyDescent="0.2">
      <c r="A888" s="30" t="s">
        <v>1569</v>
      </c>
      <c r="B888" s="21" t="s">
        <v>1861</v>
      </c>
      <c r="C888" s="21" t="s">
        <v>1548</v>
      </c>
      <c r="D888" s="21">
        <v>2017</v>
      </c>
      <c r="E888" s="21" t="s">
        <v>925</v>
      </c>
      <c r="F888" s="21" t="s">
        <v>144</v>
      </c>
      <c r="G888" s="21" t="str">
        <f>HYPERLINK("http://dx.doi.org/10.1016/j.jclepro.2017.02.035","http://dx.doi.org/10.1016/j.jclepro.2017.02.035")</f>
        <v>http://dx.doi.org/10.1016/j.jclepro.2017.02.035</v>
      </c>
      <c r="H888" s="21" t="s">
        <v>2826</v>
      </c>
      <c r="I888" s="21" t="s">
        <v>2835</v>
      </c>
      <c r="J888" s="21" t="s">
        <v>2218</v>
      </c>
      <c r="K888" s="20" t="s">
        <v>0</v>
      </c>
    </row>
    <row r="889" spans="1:11" x14ac:dyDescent="0.2">
      <c r="A889" s="30" t="s">
        <v>1569</v>
      </c>
      <c r="B889" s="21" t="s">
        <v>1245</v>
      </c>
      <c r="C889" s="21" t="s">
        <v>1246</v>
      </c>
      <c r="D889" s="21">
        <v>2014</v>
      </c>
      <c r="E889" s="21" t="s">
        <v>924</v>
      </c>
      <c r="F889" s="21" t="s">
        <v>357</v>
      </c>
      <c r="G889" s="21" t="str">
        <f>HYPERLINK("http://dx.doi.org/10.1021/es5016923","http://dx.doi.org/10.1021/es5016923")</f>
        <v>http://dx.doi.org/10.1021/es5016923</v>
      </c>
      <c r="H889" s="21" t="s">
        <v>2826</v>
      </c>
      <c r="I889" s="21" t="s">
        <v>2835</v>
      </c>
      <c r="J889" s="21" t="s">
        <v>2218</v>
      </c>
      <c r="K889" s="20" t="s">
        <v>0</v>
      </c>
    </row>
    <row r="890" spans="1:11" x14ac:dyDescent="0.2">
      <c r="A890" s="30" t="s">
        <v>1569</v>
      </c>
      <c r="B890" s="21" t="s">
        <v>2121</v>
      </c>
      <c r="C890" s="21" t="s">
        <v>1549</v>
      </c>
      <c r="D890" s="21">
        <v>2005</v>
      </c>
      <c r="E890" s="21" t="s">
        <v>2122</v>
      </c>
      <c r="F890" s="21" t="s">
        <v>2123</v>
      </c>
      <c r="G890" s="21" t="str">
        <f>HYPERLINK("http://dx.doi.org/10.1051/forest:2005080","http://dx.doi.org/10.1051/forest:2005080")</f>
        <v>http://dx.doi.org/10.1051/forest:2005080</v>
      </c>
      <c r="H890" s="21" t="s">
        <v>2825</v>
      </c>
      <c r="I890" s="21" t="s">
        <v>2832</v>
      </c>
      <c r="J890" s="21" t="s">
        <v>2893</v>
      </c>
      <c r="K890" s="20" t="s">
        <v>0</v>
      </c>
    </row>
    <row r="891" spans="1:11" x14ac:dyDescent="0.2">
      <c r="A891" s="30" t="s">
        <v>1569</v>
      </c>
      <c r="B891" s="21" t="s">
        <v>1271</v>
      </c>
      <c r="C891" s="21" t="s">
        <v>1272</v>
      </c>
      <c r="D891" s="21">
        <v>2019</v>
      </c>
      <c r="E891" s="31" t="s">
        <v>41</v>
      </c>
      <c r="F891" s="31" t="s">
        <v>90</v>
      </c>
      <c r="G891" s="21" t="str">
        <f>HYPERLINK("http://dx.doi.org/10.3390/en12224228","http://dx.doi.org/10.3390/en12224228")</f>
        <v>http://dx.doi.org/10.3390/en12224228</v>
      </c>
      <c r="H891" s="21" t="s">
        <v>2826</v>
      </c>
      <c r="I891" s="21" t="s">
        <v>2835</v>
      </c>
      <c r="J891" s="21" t="s">
        <v>2218</v>
      </c>
      <c r="K891" s="20" t="s">
        <v>0</v>
      </c>
    </row>
    <row r="892" spans="1:11" x14ac:dyDescent="0.2">
      <c r="A892" s="30" t="s">
        <v>2821</v>
      </c>
      <c r="B892" s="21" t="s">
        <v>844</v>
      </c>
      <c r="C892" s="21" t="s">
        <v>24</v>
      </c>
      <c r="D892" s="21">
        <v>2023</v>
      </c>
      <c r="E892" s="21" t="s">
        <v>924</v>
      </c>
      <c r="F892" s="21" t="s">
        <v>175</v>
      </c>
      <c r="G892" s="21" t="str">
        <f>HYPERLINK("http://dx.doi.org/10.1021/acssuschemeng.3c00141","http://dx.doi.org/10.1021/acssuschemeng.3c00141")</f>
        <v>http://dx.doi.org/10.1021/acssuschemeng.3c00141</v>
      </c>
      <c r="H892" s="21" t="s">
        <v>2826</v>
      </c>
      <c r="I892" s="21" t="s">
        <v>2835</v>
      </c>
      <c r="J892" s="21" t="s">
        <v>2218</v>
      </c>
      <c r="K892" s="20" t="s">
        <v>0</v>
      </c>
    </row>
    <row r="893" spans="1:11" x14ac:dyDescent="0.2">
      <c r="A893" s="30" t="s">
        <v>2821</v>
      </c>
      <c r="B893" s="21" t="s">
        <v>844</v>
      </c>
      <c r="C893" s="21" t="s">
        <v>854</v>
      </c>
      <c r="D893" s="21">
        <v>2024</v>
      </c>
      <c r="E893" s="21" t="s">
        <v>923</v>
      </c>
      <c r="F893" s="21" t="s">
        <v>127</v>
      </c>
      <c r="G893" s="21" t="str">
        <f>HYPERLINK("http://dx.doi.org/10.1111/jiec.13452","http://dx.doi.org/10.1111/jiec.13452")</f>
        <v>http://dx.doi.org/10.1111/jiec.13452</v>
      </c>
      <c r="H893" s="21" t="s">
        <v>2826</v>
      </c>
      <c r="I893" s="21" t="s">
        <v>2835</v>
      </c>
      <c r="J893" s="21" t="s">
        <v>2218</v>
      </c>
      <c r="K893" s="20" t="s">
        <v>0</v>
      </c>
    </row>
    <row r="894" spans="1:11" x14ac:dyDescent="0.2">
      <c r="A894" s="30" t="s">
        <v>2821</v>
      </c>
      <c r="B894" s="21" t="s">
        <v>889</v>
      </c>
      <c r="C894" s="21" t="s">
        <v>890</v>
      </c>
      <c r="D894" s="21">
        <v>2017</v>
      </c>
      <c r="E894" s="21" t="s">
        <v>966</v>
      </c>
      <c r="F894" s="21" t="s">
        <v>891</v>
      </c>
      <c r="G894" s="21" t="str">
        <f>HYPERLINK("http://dx.doi.org/10.1080/09535314.2017.1283295","http://dx.doi.org/10.1080/09535314.2017.1283295")</f>
        <v>http://dx.doi.org/10.1080/09535314.2017.1283295</v>
      </c>
      <c r="H894" s="21" t="s">
        <v>2826</v>
      </c>
      <c r="I894" s="21" t="s">
        <v>2836</v>
      </c>
      <c r="J894" s="21" t="s">
        <v>2830</v>
      </c>
      <c r="K894" s="20" t="s">
        <v>0</v>
      </c>
    </row>
    <row r="895" spans="1:11" x14ac:dyDescent="0.2">
      <c r="A895" s="30" t="s">
        <v>2821</v>
      </c>
      <c r="B895" s="21" t="s">
        <v>530</v>
      </c>
      <c r="C895" s="21" t="s">
        <v>531</v>
      </c>
      <c r="D895" s="21">
        <v>2024</v>
      </c>
      <c r="E895" s="21" t="s">
        <v>931</v>
      </c>
      <c r="F895" s="21" t="s">
        <v>138</v>
      </c>
      <c r="G895" s="21" t="str">
        <f>HYPERLINK("http://dx.doi.org/10.1016/j.ijhydene.2024.04.030","http://dx.doi.org/10.1016/j.ijhydene.2024.04.030")</f>
        <v>http://dx.doi.org/10.1016/j.ijhydene.2024.04.030</v>
      </c>
      <c r="H895" s="21" t="s">
        <v>2826</v>
      </c>
      <c r="I895" s="21" t="s">
        <v>2900</v>
      </c>
      <c r="J895" s="21" t="s">
        <v>2828</v>
      </c>
      <c r="K895" s="20" t="s">
        <v>0</v>
      </c>
    </row>
    <row r="896" spans="1:11" x14ac:dyDescent="0.2">
      <c r="A896" s="30" t="s">
        <v>1569</v>
      </c>
      <c r="B896" s="21" t="s">
        <v>2063</v>
      </c>
      <c r="C896" s="21" t="s">
        <v>1550</v>
      </c>
      <c r="D896" s="21">
        <v>2012</v>
      </c>
      <c r="E896" s="21" t="s">
        <v>934</v>
      </c>
      <c r="F896" s="21" t="s">
        <v>304</v>
      </c>
      <c r="G896" s="21" t="str">
        <f>HYPERLINK("http://dx.doi.org/10.1016/j.enbuild.2012.01.016","http://dx.doi.org/10.1016/j.enbuild.2012.01.016")</f>
        <v>http://dx.doi.org/10.1016/j.enbuild.2012.01.016</v>
      </c>
      <c r="H896" s="21" t="s">
        <v>2826</v>
      </c>
      <c r="I896" s="21" t="s">
        <v>2835</v>
      </c>
      <c r="J896" s="21" t="s">
        <v>2218</v>
      </c>
      <c r="K896" s="20" t="s">
        <v>0</v>
      </c>
    </row>
    <row r="897" spans="1:11" x14ac:dyDescent="0.2">
      <c r="A897" s="30" t="s">
        <v>2821</v>
      </c>
      <c r="B897" s="21" t="s">
        <v>1139</v>
      </c>
      <c r="C897" s="21" t="s">
        <v>1083</v>
      </c>
      <c r="D897" s="21">
        <v>2024</v>
      </c>
      <c r="E897" s="21" t="s">
        <v>926</v>
      </c>
      <c r="F897" s="21" t="s">
        <v>1140</v>
      </c>
      <c r="G897" s="21" t="str">
        <f>HYPERLINK("http://dx.doi.org/10.1007/s00062-024-01382-7","http://dx.doi.org/10.1007/s00062-024-01382-7")</f>
        <v>http://dx.doi.org/10.1007/s00062-024-01382-7</v>
      </c>
      <c r="H897" s="21" t="s">
        <v>2826</v>
      </c>
      <c r="I897" s="21" t="s">
        <v>2836</v>
      </c>
      <c r="J897" s="21" t="s">
        <v>2830</v>
      </c>
      <c r="K897" s="20" t="s">
        <v>0</v>
      </c>
    </row>
    <row r="898" spans="1:11" x14ac:dyDescent="0.2">
      <c r="A898" s="30" t="s">
        <v>2820</v>
      </c>
      <c r="B898" s="21" t="s">
        <v>1194</v>
      </c>
      <c r="C898" s="21" t="s">
        <v>1190</v>
      </c>
      <c r="D898" s="21">
        <v>2024</v>
      </c>
      <c r="E898" s="21" t="s">
        <v>925</v>
      </c>
      <c r="F898" s="21" t="s">
        <v>167</v>
      </c>
      <c r="G898" s="21" t="str">
        <f>HYPERLINK("http://dx.doi.org/10.1016/j.apenergy.2024.123618","http://dx.doi.org/10.1016/j.apenergy.2024.123618")</f>
        <v>http://dx.doi.org/10.1016/j.apenergy.2024.123618</v>
      </c>
      <c r="H898" s="21" t="s">
        <v>1230</v>
      </c>
      <c r="I898" s="21" t="s">
        <v>2262</v>
      </c>
      <c r="J898" s="21" t="s">
        <v>2262</v>
      </c>
      <c r="K898" s="20" t="s">
        <v>0</v>
      </c>
    </row>
    <row r="899" spans="1:11" x14ac:dyDescent="0.2">
      <c r="A899" s="30" t="s">
        <v>1569</v>
      </c>
      <c r="B899" s="21" t="s">
        <v>1925</v>
      </c>
      <c r="C899" s="21" t="s">
        <v>1551</v>
      </c>
      <c r="D899" s="21">
        <v>2016</v>
      </c>
      <c r="E899" s="21" t="s">
        <v>950</v>
      </c>
      <c r="F899" s="21" t="s">
        <v>534</v>
      </c>
      <c r="G899" s="21" t="str">
        <f>HYPERLINK("http://dx.doi.org/10.1016/j.jenvman.2016.04.019","http://dx.doi.org/10.1016/j.jenvman.2016.04.019")</f>
        <v>http://dx.doi.org/10.1016/j.jenvman.2016.04.019</v>
      </c>
      <c r="H899" s="21" t="s">
        <v>2825</v>
      </c>
      <c r="I899" s="21" t="s">
        <v>2832</v>
      </c>
      <c r="J899" s="21" t="s">
        <v>2884</v>
      </c>
      <c r="K899" s="20" t="s">
        <v>0</v>
      </c>
    </row>
    <row r="900" spans="1:11" x14ac:dyDescent="0.2">
      <c r="A900" s="30" t="s">
        <v>1569</v>
      </c>
      <c r="B900" s="21" t="s">
        <v>1939</v>
      </c>
      <c r="C900" s="21" t="s">
        <v>1552</v>
      </c>
      <c r="D900" s="21">
        <v>2016</v>
      </c>
      <c r="E900" s="21" t="s">
        <v>931</v>
      </c>
      <c r="F900" s="21" t="s">
        <v>329</v>
      </c>
      <c r="G900" s="21" t="str">
        <f>HYPERLINK("http://dx.doi.org/10.1016/j.wasman.2016.02.022","http://dx.doi.org/10.1016/j.wasman.2016.02.022")</f>
        <v>http://dx.doi.org/10.1016/j.wasman.2016.02.022</v>
      </c>
      <c r="H900" s="21" t="s">
        <v>2826</v>
      </c>
      <c r="I900" s="21" t="s">
        <v>2835</v>
      </c>
      <c r="J900" s="21" t="s">
        <v>2214</v>
      </c>
      <c r="K900" s="20" t="s">
        <v>0</v>
      </c>
    </row>
    <row r="901" spans="1:11" x14ac:dyDescent="0.2">
      <c r="A901" s="30" t="s">
        <v>1569</v>
      </c>
      <c r="B901" s="21" t="s">
        <v>1787</v>
      </c>
      <c r="C901" s="21" t="s">
        <v>1393</v>
      </c>
      <c r="D901" s="21">
        <v>2018</v>
      </c>
      <c r="E901" s="21" t="s">
        <v>925</v>
      </c>
      <c r="F901" s="21" t="s">
        <v>167</v>
      </c>
      <c r="G901" s="21" t="str">
        <f>HYPERLINK("http://dx.doi.org/10.1016/j.apenergy.2018.03.003","http://dx.doi.org/10.1016/j.apenergy.2018.03.003")</f>
        <v>http://dx.doi.org/10.1016/j.apenergy.2018.03.003</v>
      </c>
      <c r="H901" s="21" t="s">
        <v>2826</v>
      </c>
      <c r="I901" s="21" t="s">
        <v>2832</v>
      </c>
      <c r="J901" s="21" t="s">
        <v>2847</v>
      </c>
      <c r="K901" s="20" t="s">
        <v>0</v>
      </c>
    </row>
    <row r="902" spans="1:11" x14ac:dyDescent="0.2">
      <c r="A902" s="30" t="s">
        <v>2821</v>
      </c>
      <c r="B902" s="21" t="s">
        <v>897</v>
      </c>
      <c r="C902" s="21" t="s">
        <v>898</v>
      </c>
      <c r="D902" s="21">
        <v>2021</v>
      </c>
      <c r="E902" s="21" t="s">
        <v>931</v>
      </c>
      <c r="F902" s="21" t="s">
        <v>306</v>
      </c>
      <c r="G902" s="21" t="str">
        <f>HYPERLINK("http://dx.doi.org/10.1016/j.rser.2021.111079","http://dx.doi.org/10.1016/j.rser.2021.111079")</f>
        <v>http://dx.doi.org/10.1016/j.rser.2021.111079</v>
      </c>
      <c r="H902" s="21" t="s">
        <v>2826</v>
      </c>
      <c r="I902" s="21" t="s">
        <v>2900</v>
      </c>
      <c r="J902" s="21" t="s">
        <v>2828</v>
      </c>
      <c r="K902" s="20" t="s">
        <v>0</v>
      </c>
    </row>
    <row r="903" spans="1:11" x14ac:dyDescent="0.2">
      <c r="A903" s="30" t="s">
        <v>2821</v>
      </c>
      <c r="B903" s="21" t="s">
        <v>895</v>
      </c>
      <c r="C903" s="21" t="s">
        <v>896</v>
      </c>
      <c r="D903" s="21">
        <v>2024</v>
      </c>
      <c r="E903" s="21" t="s">
        <v>931</v>
      </c>
      <c r="F903" s="21" t="s">
        <v>138</v>
      </c>
      <c r="G903" s="21" t="str">
        <f>HYPERLINK("http://dx.doi.org/10.1016/j.ijhydene.2024.04.078","http://dx.doi.org/10.1016/j.ijhydene.2024.04.078")</f>
        <v>http://dx.doi.org/10.1016/j.ijhydene.2024.04.078</v>
      </c>
      <c r="H903" s="21" t="s">
        <v>2826</v>
      </c>
      <c r="I903" s="21" t="s">
        <v>2835</v>
      </c>
      <c r="J903" s="21" t="s">
        <v>2218</v>
      </c>
      <c r="K903" s="20" t="s">
        <v>0</v>
      </c>
    </row>
    <row r="904" spans="1:11" x14ac:dyDescent="0.2">
      <c r="A904" s="30" t="s">
        <v>2821</v>
      </c>
      <c r="B904" s="21" t="s">
        <v>734</v>
      </c>
      <c r="C904" s="21" t="s">
        <v>735</v>
      </c>
      <c r="D904" s="21">
        <v>2023</v>
      </c>
      <c r="E904" s="21" t="s">
        <v>1045</v>
      </c>
      <c r="F904" s="21" t="s">
        <v>736</v>
      </c>
      <c r="G904" s="21" t="s">
        <v>2262</v>
      </c>
      <c r="H904" s="21" t="s">
        <v>2826</v>
      </c>
      <c r="I904" s="21" t="s">
        <v>2836</v>
      </c>
      <c r="J904" s="21" t="s">
        <v>2830</v>
      </c>
      <c r="K904" s="20" t="s">
        <v>0</v>
      </c>
    </row>
    <row r="905" spans="1:11" x14ac:dyDescent="0.2">
      <c r="A905" s="30" t="s">
        <v>1569</v>
      </c>
      <c r="B905" s="21" t="s">
        <v>1791</v>
      </c>
      <c r="C905" s="21" t="s">
        <v>1553</v>
      </c>
      <c r="D905" s="21">
        <v>2018</v>
      </c>
      <c r="E905" s="21" t="s">
        <v>41</v>
      </c>
      <c r="F905" s="21" t="s">
        <v>54</v>
      </c>
      <c r="G905" s="21" t="str">
        <f>HYPERLINK("http://dx.doi.org/10.3390/su10051639","http://dx.doi.org/10.3390/su10051639")</f>
        <v>http://dx.doi.org/10.3390/su10051639</v>
      </c>
      <c r="H905" s="21" t="s">
        <v>2826</v>
      </c>
      <c r="I905" s="21" t="s">
        <v>2834</v>
      </c>
      <c r="J905" s="21" t="s">
        <v>2208</v>
      </c>
      <c r="K905" s="20" t="s">
        <v>0</v>
      </c>
    </row>
    <row r="906" spans="1:11" x14ac:dyDescent="0.2">
      <c r="A906" s="30" t="s">
        <v>2821</v>
      </c>
      <c r="B906" s="21" t="s">
        <v>487</v>
      </c>
      <c r="C906" s="21" t="s">
        <v>488</v>
      </c>
      <c r="D906" s="21">
        <v>2024</v>
      </c>
      <c r="E906" s="21" t="s">
        <v>931</v>
      </c>
      <c r="F906" s="21" t="s">
        <v>306</v>
      </c>
      <c r="G906" s="21" t="str">
        <f>HYPERLINK("http://dx.doi.org/10.1016/j.rser.2023.114189","http://dx.doi.org/10.1016/j.rser.2023.114189")</f>
        <v>http://dx.doi.org/10.1016/j.rser.2023.114189</v>
      </c>
      <c r="H906" s="21" t="s">
        <v>2826</v>
      </c>
      <c r="I906" s="21" t="s">
        <v>2834</v>
      </c>
      <c r="J906" s="21" t="s">
        <v>2208</v>
      </c>
      <c r="K906" s="20" t="s">
        <v>0</v>
      </c>
    </row>
    <row r="907" spans="1:11" x14ac:dyDescent="0.2">
      <c r="A907" s="30" t="s">
        <v>1569</v>
      </c>
      <c r="B907" s="21" t="s">
        <v>1761</v>
      </c>
      <c r="C907" s="21" t="s">
        <v>1554</v>
      </c>
      <c r="D907" s="21">
        <v>2018</v>
      </c>
      <c r="E907" s="21" t="s">
        <v>925</v>
      </c>
      <c r="F907" s="21" t="s">
        <v>144</v>
      </c>
      <c r="G907" s="21" t="str">
        <f>HYPERLINK("http://dx.doi.org/10.1016/j.jclepro.2018.05.161","http://dx.doi.org/10.1016/j.jclepro.2018.05.161")</f>
        <v>http://dx.doi.org/10.1016/j.jclepro.2018.05.161</v>
      </c>
      <c r="H907" s="21" t="s">
        <v>2826</v>
      </c>
      <c r="I907" s="21" t="s">
        <v>2835</v>
      </c>
      <c r="J907" s="21" t="s">
        <v>2214</v>
      </c>
      <c r="K907" s="20" t="s">
        <v>0</v>
      </c>
    </row>
    <row r="908" spans="1:11" x14ac:dyDescent="0.2">
      <c r="A908" s="30" t="s">
        <v>2821</v>
      </c>
      <c r="B908" s="21" t="s">
        <v>212</v>
      </c>
      <c r="C908" s="21" t="s">
        <v>49</v>
      </c>
      <c r="D908" s="21">
        <v>2022</v>
      </c>
      <c r="E908" s="21" t="s">
        <v>928</v>
      </c>
      <c r="F908" s="21" t="s">
        <v>213</v>
      </c>
      <c r="G908" s="21" t="str">
        <f>HYPERLINK("http://dx.doi.org/10.1016/j.resconrec.2022.106606","http://dx.doi.org/10.1016/j.resconrec.2022.106606")</f>
        <v>http://dx.doi.org/10.1016/j.resconrec.2022.106606</v>
      </c>
      <c r="H908" s="21" t="s">
        <v>2826</v>
      </c>
      <c r="I908" s="21" t="s">
        <v>2835</v>
      </c>
      <c r="J908" s="21" t="s">
        <v>2218</v>
      </c>
      <c r="K908" s="20" t="s">
        <v>0</v>
      </c>
    </row>
    <row r="909" spans="1:11" x14ac:dyDescent="0.2">
      <c r="A909" s="30" t="s">
        <v>2820</v>
      </c>
      <c r="B909" s="21" t="s">
        <v>1209</v>
      </c>
      <c r="C909" s="21" t="s">
        <v>114</v>
      </c>
      <c r="D909" s="21">
        <v>2020</v>
      </c>
      <c r="E909" s="21" t="s">
        <v>925</v>
      </c>
      <c r="F909" s="21" t="s">
        <v>144</v>
      </c>
      <c r="G909" s="21" t="str">
        <f>HYPERLINK("http://dx.doi.org/10.1016/j.jclepro.2019.118614","http://dx.doi.org/10.1016/j.jclepro.2019.118614")</f>
        <v>http://dx.doi.org/10.1016/j.jclepro.2019.118614</v>
      </c>
      <c r="H909" s="21" t="s">
        <v>1230</v>
      </c>
      <c r="I909" s="21" t="s">
        <v>2262</v>
      </c>
      <c r="J909" s="21" t="s">
        <v>2262</v>
      </c>
      <c r="K909" s="20" t="s">
        <v>0</v>
      </c>
    </row>
    <row r="910" spans="1:11" x14ac:dyDescent="0.2">
      <c r="A910" s="30" t="s">
        <v>2821</v>
      </c>
      <c r="B910" s="21" t="s">
        <v>560</v>
      </c>
      <c r="C910" s="21" t="s">
        <v>561</v>
      </c>
      <c r="D910" s="21">
        <v>2024</v>
      </c>
      <c r="E910" s="21" t="s">
        <v>942</v>
      </c>
      <c r="F910" s="21" t="s">
        <v>279</v>
      </c>
      <c r="G910" s="21" t="str">
        <f>HYPERLINK("http://dx.doi.org/10.1002/cssc.202401837","http://dx.doi.org/10.1002/cssc.202401837")</f>
        <v>http://dx.doi.org/10.1002/cssc.202401837</v>
      </c>
      <c r="H910" s="21" t="s">
        <v>2826</v>
      </c>
      <c r="I910" s="21" t="s">
        <v>2836</v>
      </c>
      <c r="J910" s="21" t="s">
        <v>2830</v>
      </c>
      <c r="K910" s="20" t="s">
        <v>0</v>
      </c>
    </row>
    <row r="911" spans="1:11" x14ac:dyDescent="0.2">
      <c r="A911" s="30" t="s">
        <v>2821</v>
      </c>
      <c r="B911" s="21" t="s">
        <v>1120</v>
      </c>
      <c r="C911" s="21" t="s">
        <v>1121</v>
      </c>
      <c r="D911" s="21">
        <v>2021</v>
      </c>
      <c r="E911" s="21" t="s">
        <v>41</v>
      </c>
      <c r="F911" s="21" t="s">
        <v>54</v>
      </c>
      <c r="G911" s="21" t="str">
        <f>HYPERLINK("http://dx.doi.org/10.3390/su13031310","http://dx.doi.org/10.3390/su13031310")</f>
        <v>http://dx.doi.org/10.3390/su13031310</v>
      </c>
      <c r="H911" s="21" t="s">
        <v>2826</v>
      </c>
      <c r="I911" s="21" t="s">
        <v>2900</v>
      </c>
      <c r="J911" s="21" t="s">
        <v>2828</v>
      </c>
      <c r="K911" s="20" t="s">
        <v>0</v>
      </c>
    </row>
    <row r="912" spans="1:11" x14ac:dyDescent="0.2">
      <c r="A912" s="30" t="s">
        <v>2821</v>
      </c>
      <c r="B912" s="21" t="s">
        <v>391</v>
      </c>
      <c r="C912" s="21" t="s">
        <v>392</v>
      </c>
      <c r="D912" s="21">
        <v>2023</v>
      </c>
      <c r="E912" s="21" t="s">
        <v>926</v>
      </c>
      <c r="F912" s="21" t="s">
        <v>209</v>
      </c>
      <c r="G912" s="21" t="str">
        <f>HYPERLINK("http://dx.doi.org/10.1007/s11367-022-02124-y","http://dx.doi.org/10.1007/s11367-022-02124-y")</f>
        <v>http://dx.doi.org/10.1007/s11367-022-02124-y</v>
      </c>
      <c r="H912" s="21" t="s">
        <v>2825</v>
      </c>
      <c r="I912" s="21" t="s">
        <v>2832</v>
      </c>
      <c r="J912" s="21" t="s">
        <v>2882</v>
      </c>
      <c r="K912" s="20" t="s">
        <v>0</v>
      </c>
    </row>
    <row r="913" spans="1:11" x14ac:dyDescent="0.2">
      <c r="A913" s="30" t="s">
        <v>2820</v>
      </c>
      <c r="B913" s="21" t="s">
        <v>2268</v>
      </c>
      <c r="C913" s="21" t="s">
        <v>2271</v>
      </c>
      <c r="D913" s="21">
        <v>2023</v>
      </c>
      <c r="E913" s="21" t="s">
        <v>931</v>
      </c>
      <c r="F913" s="21" t="s">
        <v>147</v>
      </c>
      <c r="G913" s="21" t="str">
        <f>HYPERLINK("http://dx.doi.org/10.1016/j.trd.2023.103725","http://dx.doi.org/10.1016/j.trd.2023.103725")</f>
        <v>http://dx.doi.org/10.1016/j.trd.2023.103725</v>
      </c>
      <c r="H913" s="21" t="s">
        <v>1230</v>
      </c>
      <c r="I913" s="21" t="s">
        <v>2262</v>
      </c>
      <c r="J913" s="21" t="s">
        <v>2262</v>
      </c>
      <c r="K913" s="20" t="s">
        <v>0</v>
      </c>
    </row>
    <row r="914" spans="1:11" x14ac:dyDescent="0.2">
      <c r="A914" s="30" t="s">
        <v>2821</v>
      </c>
      <c r="B914" s="21" t="s">
        <v>908</v>
      </c>
      <c r="C914" s="21" t="s">
        <v>909</v>
      </c>
      <c r="D914" s="21">
        <v>2022</v>
      </c>
      <c r="E914" s="21" t="s">
        <v>993</v>
      </c>
      <c r="F914" s="21" t="s">
        <v>910</v>
      </c>
      <c r="G914" s="21" t="str">
        <f>HYPERLINK("http://dx.doi.org/10.1016/j.virol.2022.07.006","http://dx.doi.org/10.1016/j.virol.2022.07.006")</f>
        <v>http://dx.doi.org/10.1016/j.virol.2022.07.006</v>
      </c>
      <c r="H914" s="21" t="s">
        <v>2826</v>
      </c>
      <c r="I914" s="21" t="s">
        <v>2836</v>
      </c>
      <c r="J914" s="21" t="s">
        <v>2830</v>
      </c>
      <c r="K914" s="20" t="s">
        <v>0</v>
      </c>
    </row>
    <row r="915" spans="1:11" x14ac:dyDescent="0.2">
      <c r="A915" s="30" t="s">
        <v>1569</v>
      </c>
      <c r="B915" s="21" t="s">
        <v>2067</v>
      </c>
      <c r="C915" s="21" t="s">
        <v>1555</v>
      </c>
      <c r="D915" s="21">
        <v>2012</v>
      </c>
      <c r="E915" s="21" t="s">
        <v>931</v>
      </c>
      <c r="F915" s="21" t="s">
        <v>2068</v>
      </c>
      <c r="G915" s="21" t="str">
        <f>HYPERLINK("http://dx.doi.org/10.1016/j.eswa.2011.08.150","http://dx.doi.org/10.1016/j.eswa.2011.08.150")</f>
        <v>http://dx.doi.org/10.1016/j.eswa.2011.08.150</v>
      </c>
      <c r="H915" s="21" t="s">
        <v>2826</v>
      </c>
      <c r="I915" s="21" t="s">
        <v>2835</v>
      </c>
      <c r="J915" s="21" t="s">
        <v>2218</v>
      </c>
      <c r="K915" s="20" t="s">
        <v>0</v>
      </c>
    </row>
    <row r="916" spans="1:11" x14ac:dyDescent="0.2">
      <c r="A916" s="30" t="s">
        <v>1569</v>
      </c>
      <c r="B916" s="21" t="s">
        <v>1784</v>
      </c>
      <c r="C916" s="21" t="s">
        <v>1624</v>
      </c>
      <c r="D916" s="21">
        <v>2018</v>
      </c>
      <c r="E916" s="21" t="s">
        <v>928</v>
      </c>
      <c r="F916" s="21" t="s">
        <v>197</v>
      </c>
      <c r="G916" s="21" t="str">
        <f>HYPERLINK("http://dx.doi.org/10.1016/j.scitotenv.2018.01.110","http://dx.doi.org/10.1016/j.scitotenv.2018.01.110")</f>
        <v>http://dx.doi.org/10.1016/j.scitotenv.2018.01.110</v>
      </c>
      <c r="H916" s="21" t="s">
        <v>2826</v>
      </c>
      <c r="I916" s="21" t="s">
        <v>2835</v>
      </c>
      <c r="J916" s="21" t="s">
        <v>2214</v>
      </c>
      <c r="K916" s="20" t="s">
        <v>0</v>
      </c>
    </row>
    <row r="917" spans="1:11" x14ac:dyDescent="0.2">
      <c r="A917" s="30" t="s">
        <v>2821</v>
      </c>
      <c r="B917" s="21" t="s">
        <v>573</v>
      </c>
      <c r="C917" s="21" t="s">
        <v>574</v>
      </c>
      <c r="D917" s="21">
        <v>2021</v>
      </c>
      <c r="E917" s="21" t="s">
        <v>933</v>
      </c>
      <c r="F917" s="21" t="s">
        <v>451</v>
      </c>
      <c r="G917" s="21" t="str">
        <f>HYPERLINK("http://dx.doi.org/10.1038/s41467-021-21868-z","http://dx.doi.org/10.1038/s41467-021-21868-z")</f>
        <v>http://dx.doi.org/10.1038/s41467-021-21868-z</v>
      </c>
      <c r="H917" s="21" t="s">
        <v>2825</v>
      </c>
      <c r="I917" s="21" t="s">
        <v>2832</v>
      </c>
      <c r="J917" s="21" t="s">
        <v>2858</v>
      </c>
      <c r="K917" s="20" t="s">
        <v>0</v>
      </c>
    </row>
    <row r="918" spans="1:11" x14ac:dyDescent="0.2">
      <c r="A918" s="30" t="s">
        <v>2821</v>
      </c>
      <c r="B918" s="21" t="s">
        <v>480</v>
      </c>
      <c r="C918" s="21" t="s">
        <v>481</v>
      </c>
      <c r="D918" s="21">
        <v>2021</v>
      </c>
      <c r="E918" s="21" t="s">
        <v>925</v>
      </c>
      <c r="F918" s="21" t="s">
        <v>167</v>
      </c>
      <c r="G918" s="21" t="str">
        <f>HYPERLINK("http://dx.doi.org/10.1016/j.apenergy.2020.116275","http://dx.doi.org/10.1016/j.apenergy.2020.116275")</f>
        <v>http://dx.doi.org/10.1016/j.apenergy.2020.116275</v>
      </c>
      <c r="H918" s="21" t="s">
        <v>2825</v>
      </c>
      <c r="I918" s="21" t="s">
        <v>2832</v>
      </c>
      <c r="J918" s="21" t="s">
        <v>2225</v>
      </c>
      <c r="K918" s="20" t="s">
        <v>0</v>
      </c>
    </row>
    <row r="919" spans="1:11" x14ac:dyDescent="0.2">
      <c r="A919" s="30" t="s">
        <v>2821</v>
      </c>
      <c r="B919" s="21" t="s">
        <v>229</v>
      </c>
      <c r="C919" s="21" t="s">
        <v>230</v>
      </c>
      <c r="D919" s="21">
        <v>2024</v>
      </c>
      <c r="E919" s="21" t="s">
        <v>41</v>
      </c>
      <c r="F919" s="21" t="s">
        <v>90</v>
      </c>
      <c r="G919" s="21" t="str">
        <f>HYPERLINK("http://dx.doi.org/10.3390/en17040793","http://dx.doi.org/10.3390/en17040793")</f>
        <v>http://dx.doi.org/10.3390/en17040793</v>
      </c>
      <c r="H919" s="21" t="s">
        <v>2826</v>
      </c>
      <c r="I919" s="21" t="s">
        <v>2832</v>
      </c>
      <c r="J919" s="21" t="s">
        <v>2213</v>
      </c>
      <c r="K919" s="20" t="s">
        <v>0</v>
      </c>
    </row>
    <row r="920" spans="1:11" x14ac:dyDescent="0.2">
      <c r="A920" s="30" t="s">
        <v>2822</v>
      </c>
      <c r="B920" s="21" t="s">
        <v>1236</v>
      </c>
      <c r="C920" s="21" t="s">
        <v>27</v>
      </c>
      <c r="D920" s="21">
        <v>2022</v>
      </c>
      <c r="E920" s="21" t="s">
        <v>925</v>
      </c>
      <c r="F920" s="21" t="s">
        <v>167</v>
      </c>
      <c r="G920" s="21" t="str">
        <f>HYPERLINK("http://dx.doi.org/10.1016/j.apenergy.2021.118060","http://dx.doi.org/10.1016/j.apenergy.2021.118060")</f>
        <v>http://dx.doi.org/10.1016/j.apenergy.2021.118060</v>
      </c>
      <c r="H920" s="21" t="s">
        <v>1230</v>
      </c>
      <c r="I920" s="21" t="s">
        <v>2262</v>
      </c>
      <c r="J920" s="21" t="s">
        <v>2262</v>
      </c>
      <c r="K920" s="20" t="s">
        <v>0</v>
      </c>
    </row>
    <row r="921" spans="1:11" x14ac:dyDescent="0.2">
      <c r="A921" s="30" t="s">
        <v>1569</v>
      </c>
      <c r="B921" s="21" t="s">
        <v>1248</v>
      </c>
      <c r="C921" s="21" t="s">
        <v>1645</v>
      </c>
      <c r="D921" s="21">
        <v>2015</v>
      </c>
      <c r="E921" s="21" t="s">
        <v>926</v>
      </c>
      <c r="F921" s="21" t="s">
        <v>209</v>
      </c>
      <c r="G921" s="21" t="str">
        <f>HYPERLINK("http://dx.doi.org/10.1007/s11367-014-0827-x","http://dx.doi.org/10.1007/s11367-014-0827-x")</f>
        <v>http://dx.doi.org/10.1007/s11367-014-0827-x</v>
      </c>
      <c r="H921" s="21" t="s">
        <v>2826</v>
      </c>
      <c r="I921" s="21" t="s">
        <v>2835</v>
      </c>
      <c r="J921" s="21" t="s">
        <v>2218</v>
      </c>
      <c r="K921" s="20" t="s">
        <v>0</v>
      </c>
    </row>
    <row r="922" spans="1:11" x14ac:dyDescent="0.2">
      <c r="A922" s="30" t="s">
        <v>1569</v>
      </c>
      <c r="B922" s="21" t="s">
        <v>1986</v>
      </c>
      <c r="C922" s="21" t="s">
        <v>1556</v>
      </c>
      <c r="D922" s="21">
        <v>2015</v>
      </c>
      <c r="E922" s="21" t="s">
        <v>931</v>
      </c>
      <c r="F922" s="21" t="s">
        <v>329</v>
      </c>
      <c r="G922" s="21" t="str">
        <f>HYPERLINK("http://dx.doi.org/10.1016/j.wasman.2015.01.014","http://dx.doi.org/10.1016/j.wasman.2015.01.014")</f>
        <v>http://dx.doi.org/10.1016/j.wasman.2015.01.014</v>
      </c>
      <c r="H922" s="21" t="s">
        <v>2826</v>
      </c>
      <c r="I922" s="21" t="s">
        <v>2835</v>
      </c>
      <c r="J922" s="21" t="s">
        <v>2214</v>
      </c>
      <c r="K922" s="20" t="s">
        <v>0</v>
      </c>
    </row>
    <row r="923" spans="1:11" x14ac:dyDescent="0.2">
      <c r="A923" s="30" t="s">
        <v>1569</v>
      </c>
      <c r="B923" s="21" t="s">
        <v>1915</v>
      </c>
      <c r="C923" s="21" t="s">
        <v>1557</v>
      </c>
      <c r="D923" s="21">
        <v>2016</v>
      </c>
      <c r="E923" s="21" t="s">
        <v>929</v>
      </c>
      <c r="F923" s="21" t="s">
        <v>1916</v>
      </c>
      <c r="G923" s="21" t="str">
        <f>HYPERLINK("http://dx.doi.org/10.1007/s10163-016-0531-y","http://dx.doi.org/10.1007/s10163-016-0531-y")</f>
        <v>http://dx.doi.org/10.1007/s10163-016-0531-y</v>
      </c>
      <c r="H923" s="21" t="s">
        <v>2825</v>
      </c>
      <c r="I923" s="21" t="s">
        <v>2832</v>
      </c>
      <c r="J923" s="21" t="s">
        <v>2895</v>
      </c>
      <c r="K923" s="20" t="s">
        <v>0</v>
      </c>
    </row>
    <row r="924" spans="1:11" x14ac:dyDescent="0.2">
      <c r="A924" s="30" t="s">
        <v>2821</v>
      </c>
      <c r="B924" s="21" t="s">
        <v>337</v>
      </c>
      <c r="C924" s="21" t="s">
        <v>338</v>
      </c>
      <c r="D924" s="21">
        <v>2024</v>
      </c>
      <c r="E924" s="21" t="s">
        <v>928</v>
      </c>
      <c r="F924" s="21" t="s">
        <v>339</v>
      </c>
      <c r="G924" s="21" t="str">
        <f>HYPERLINK("http://dx.doi.org/10.1016/j.jwpe.2024.105537","http://dx.doi.org/10.1016/j.jwpe.2024.105537")</f>
        <v>http://dx.doi.org/10.1016/j.jwpe.2024.105537</v>
      </c>
      <c r="H924" s="21" t="s">
        <v>2826</v>
      </c>
      <c r="I924" s="21" t="s">
        <v>2832</v>
      </c>
      <c r="J924" s="21" t="s">
        <v>2213</v>
      </c>
      <c r="K924" s="20" t="s">
        <v>0</v>
      </c>
    </row>
    <row r="925" spans="1:11" x14ac:dyDescent="0.2">
      <c r="A925" s="30" t="s">
        <v>2821</v>
      </c>
      <c r="B925" s="21" t="s">
        <v>1172</v>
      </c>
      <c r="C925" s="21" t="s">
        <v>1173</v>
      </c>
      <c r="D925" s="21">
        <v>2024</v>
      </c>
      <c r="E925" s="21" t="s">
        <v>956</v>
      </c>
      <c r="F925" s="21" t="s">
        <v>1174</v>
      </c>
      <c r="G925" s="21" t="str">
        <f>HYPERLINK("http://dx.doi.org/10.1007/s42114-024-00983-7","http://dx.doi.org/10.1007/s42114-024-00983-7")</f>
        <v>http://dx.doi.org/10.1007/s42114-024-00983-7</v>
      </c>
      <c r="H925" s="21" t="s">
        <v>2826</v>
      </c>
      <c r="I925" s="21" t="s">
        <v>2900</v>
      </c>
      <c r="J925" s="21" t="s">
        <v>2828</v>
      </c>
      <c r="K925" s="20" t="s">
        <v>0</v>
      </c>
    </row>
    <row r="926" spans="1:11" x14ac:dyDescent="0.2">
      <c r="A926" s="30" t="s">
        <v>1569</v>
      </c>
      <c r="B926" s="21" t="s">
        <v>2137</v>
      </c>
      <c r="C926" s="21" t="s">
        <v>1558</v>
      </c>
      <c r="D926" s="21">
        <v>2003</v>
      </c>
      <c r="E926" s="21" t="s">
        <v>926</v>
      </c>
      <c r="F926" s="21" t="s">
        <v>209</v>
      </c>
      <c r="G926" s="21" t="str">
        <f>HYPERLINK("http://dx.doi.org/10.1007/BF02978457","http://dx.doi.org/10.1007/BF02978457")</f>
        <v>http://dx.doi.org/10.1007/BF02978457</v>
      </c>
      <c r="H926" s="21" t="s">
        <v>2825</v>
      </c>
      <c r="I926" s="21" t="s">
        <v>2832</v>
      </c>
      <c r="J926" s="21" t="s">
        <v>2854</v>
      </c>
      <c r="K926" s="20" t="s">
        <v>0</v>
      </c>
    </row>
    <row r="927" spans="1:11" x14ac:dyDescent="0.2">
      <c r="A927" s="30" t="s">
        <v>2821</v>
      </c>
      <c r="B927" s="21" t="s">
        <v>2381</v>
      </c>
      <c r="C927" s="21" t="s">
        <v>2383</v>
      </c>
      <c r="D927" s="21">
        <v>2025</v>
      </c>
      <c r="E927" s="21" t="s">
        <v>1026</v>
      </c>
      <c r="F927" s="21" t="s">
        <v>2384</v>
      </c>
      <c r="G927" s="21" t="str">
        <f>HYPERLINK("http://dx.doi.org/10.1186/s12957-025-03924-w","http://dx.doi.org/10.1186/s12957-025-03924-w")</f>
        <v>http://dx.doi.org/10.1186/s12957-025-03924-w</v>
      </c>
      <c r="H927" s="21" t="s">
        <v>2826</v>
      </c>
      <c r="I927" s="21" t="s">
        <v>2836</v>
      </c>
      <c r="J927" s="21" t="s">
        <v>2830</v>
      </c>
      <c r="K927" s="20" t="s">
        <v>0</v>
      </c>
    </row>
    <row r="928" spans="1:11" x14ac:dyDescent="0.2">
      <c r="A928" s="30" t="s">
        <v>1569</v>
      </c>
      <c r="B928" s="21" t="s">
        <v>2071</v>
      </c>
      <c r="C928" s="21" t="s">
        <v>2072</v>
      </c>
      <c r="D928" s="21">
        <v>2011</v>
      </c>
      <c r="E928" s="21" t="s">
        <v>934</v>
      </c>
      <c r="F928" s="21" t="s">
        <v>304</v>
      </c>
      <c r="G928" s="21" t="str">
        <f>HYPERLINK("http://dx.doi.org/10.1016/j.enbuild.2011.06.013","http://dx.doi.org/10.1016/j.enbuild.2011.06.013")</f>
        <v>http://dx.doi.org/10.1016/j.enbuild.2011.06.013</v>
      </c>
      <c r="H928" s="21" t="s">
        <v>2826</v>
      </c>
      <c r="I928" s="21" t="s">
        <v>2835</v>
      </c>
      <c r="J928" s="21" t="s">
        <v>2218</v>
      </c>
      <c r="K928" s="20" t="s">
        <v>0</v>
      </c>
    </row>
    <row r="929" spans="1:11" x14ac:dyDescent="0.2">
      <c r="A929" s="30" t="s">
        <v>2821</v>
      </c>
      <c r="B929" s="21" t="s">
        <v>402</v>
      </c>
      <c r="C929" s="21" t="s">
        <v>403</v>
      </c>
      <c r="D929" s="21">
        <v>2017</v>
      </c>
      <c r="E929" s="21" t="s">
        <v>948</v>
      </c>
      <c r="F929" s="21" t="s">
        <v>404</v>
      </c>
      <c r="G929" s="21" t="str">
        <f>HYPERLINK("http://dx.doi.org/10.1108/MF-10-2015-0287","http://dx.doi.org/10.1108/MF-10-2015-0287")</f>
        <v>http://dx.doi.org/10.1108/MF-10-2015-0287</v>
      </c>
      <c r="H929" s="21" t="s">
        <v>2826</v>
      </c>
      <c r="I929" s="21" t="s">
        <v>2836</v>
      </c>
      <c r="J929" s="21" t="s">
        <v>2830</v>
      </c>
      <c r="K929" s="20" t="s">
        <v>0</v>
      </c>
    </row>
    <row r="930" spans="1:11" x14ac:dyDescent="0.2">
      <c r="A930" s="30" t="s">
        <v>2821</v>
      </c>
      <c r="B930" s="21" t="s">
        <v>2254</v>
      </c>
      <c r="C930" s="21" t="s">
        <v>2256</v>
      </c>
      <c r="D930" s="21">
        <v>2024</v>
      </c>
      <c r="E930" s="21" t="s">
        <v>954</v>
      </c>
      <c r="F930" s="21" t="s">
        <v>2258</v>
      </c>
      <c r="G930" s="21" t="str">
        <f>HYPERLINK("http://dx.doi.org/10.3389/fmats.2024.1484544","http://dx.doi.org/10.3389/fmats.2024.1484544")</f>
        <v>http://dx.doi.org/10.3389/fmats.2024.1484544</v>
      </c>
      <c r="H930" s="21" t="s">
        <v>2826</v>
      </c>
      <c r="I930" s="21" t="s">
        <v>2900</v>
      </c>
      <c r="J930" s="21" t="s">
        <v>2828</v>
      </c>
      <c r="K930" s="20" t="s">
        <v>0</v>
      </c>
    </row>
    <row r="931" spans="1:11" x14ac:dyDescent="0.2">
      <c r="A931" s="30" t="s">
        <v>1569</v>
      </c>
      <c r="B931" s="21" t="s">
        <v>1777</v>
      </c>
      <c r="C931" s="21" t="s">
        <v>1559</v>
      </c>
      <c r="D931" s="21">
        <v>2018</v>
      </c>
      <c r="E931" s="21" t="s">
        <v>925</v>
      </c>
      <c r="F931" s="21" t="s">
        <v>167</v>
      </c>
      <c r="G931" s="21" t="str">
        <f>HYPERLINK("http://dx.doi.org/10.1016/j.apenergy.2018.03.073","http://dx.doi.org/10.1016/j.apenergy.2018.03.073")</f>
        <v>http://dx.doi.org/10.1016/j.apenergy.2018.03.073</v>
      </c>
      <c r="H931" s="21" t="s">
        <v>1230</v>
      </c>
      <c r="I931" s="21" t="s">
        <v>2262</v>
      </c>
      <c r="J931" s="21" t="s">
        <v>2262</v>
      </c>
      <c r="K931" s="20" t="s">
        <v>0</v>
      </c>
    </row>
    <row r="932" spans="1:11" x14ac:dyDescent="0.2">
      <c r="A932" s="30" t="s">
        <v>1569</v>
      </c>
      <c r="B932" s="21" t="s">
        <v>2053</v>
      </c>
      <c r="C932" s="21" t="s">
        <v>1560</v>
      </c>
      <c r="D932" s="21">
        <v>2012</v>
      </c>
      <c r="E932" s="21" t="s">
        <v>930</v>
      </c>
      <c r="F932" s="21" t="s">
        <v>220</v>
      </c>
      <c r="G932" s="21" t="str">
        <f>HYPERLINK("http://dx.doi.org/10.1039/c2ee22597b","http://dx.doi.org/10.1039/c2ee22597b")</f>
        <v>http://dx.doi.org/10.1039/c2ee22597b</v>
      </c>
      <c r="H932" s="21" t="s">
        <v>2826</v>
      </c>
      <c r="I932" s="21" t="s">
        <v>2835</v>
      </c>
      <c r="J932" s="21" t="s">
        <v>2214</v>
      </c>
      <c r="K932" s="20" t="s">
        <v>0</v>
      </c>
    </row>
    <row r="933" spans="1:11" x14ac:dyDescent="0.2">
      <c r="A933" s="30" t="s">
        <v>1569</v>
      </c>
      <c r="B933" s="21" t="s">
        <v>1773</v>
      </c>
      <c r="C933" s="21" t="s">
        <v>1561</v>
      </c>
      <c r="D933" s="21">
        <v>2018</v>
      </c>
      <c r="E933" s="21" t="s">
        <v>925</v>
      </c>
      <c r="F933" s="21" t="s">
        <v>144</v>
      </c>
      <c r="G933" s="21" t="str">
        <f>HYPERLINK("http://dx.doi.org/10.1016/j.jclepro.2018.04.061","http://dx.doi.org/10.1016/j.jclepro.2018.04.061")</f>
        <v>http://dx.doi.org/10.1016/j.jclepro.2018.04.061</v>
      </c>
      <c r="H933" s="21" t="s">
        <v>2826</v>
      </c>
      <c r="I933" s="21" t="s">
        <v>2835</v>
      </c>
      <c r="J933" s="21" t="s">
        <v>2214</v>
      </c>
      <c r="K933" s="20" t="s">
        <v>0</v>
      </c>
    </row>
    <row r="934" spans="1:11" x14ac:dyDescent="0.2">
      <c r="A934" s="30" t="s">
        <v>1569</v>
      </c>
      <c r="B934" s="21" t="s">
        <v>1689</v>
      </c>
      <c r="C934" s="21" t="s">
        <v>1579</v>
      </c>
      <c r="D934" s="21">
        <v>2019</v>
      </c>
      <c r="E934" s="21" t="s">
        <v>41</v>
      </c>
      <c r="F934" s="21" t="s">
        <v>54</v>
      </c>
      <c r="G934" s="21" t="str">
        <f>HYPERLINK("http://dx.doi.org/10.3390/su11205679","http://dx.doi.org/10.3390/su11205679")</f>
        <v>http://dx.doi.org/10.3390/su11205679</v>
      </c>
      <c r="H934" s="21" t="s">
        <v>2826</v>
      </c>
      <c r="I934" s="21" t="s">
        <v>2835</v>
      </c>
      <c r="J934" s="21" t="s">
        <v>2218</v>
      </c>
      <c r="K934" s="20" t="s">
        <v>0</v>
      </c>
    </row>
    <row r="935" spans="1:11" x14ac:dyDescent="0.2">
      <c r="A935" s="30" t="s">
        <v>1569</v>
      </c>
      <c r="B935" s="21" t="s">
        <v>2116</v>
      </c>
      <c r="C935" s="21" t="s">
        <v>1562</v>
      </c>
      <c r="D935" s="21">
        <v>2007</v>
      </c>
      <c r="E935" s="21" t="s">
        <v>925</v>
      </c>
      <c r="F935" s="21" t="s">
        <v>144</v>
      </c>
      <c r="G935" s="21" t="str">
        <f>HYPERLINK("http://dx.doi.org/10.1016/j.jclepro.2006.05.036","http://dx.doi.org/10.1016/j.jclepro.2006.05.036")</f>
        <v>http://dx.doi.org/10.1016/j.jclepro.2006.05.036</v>
      </c>
      <c r="H935" s="21" t="s">
        <v>2826</v>
      </c>
      <c r="I935" s="21" t="s">
        <v>2835</v>
      </c>
      <c r="J935" s="21" t="s">
        <v>2218</v>
      </c>
      <c r="K935" s="20" t="s">
        <v>0</v>
      </c>
    </row>
    <row r="936" spans="1:11" x14ac:dyDescent="0.2">
      <c r="A936" s="30" t="s">
        <v>2821</v>
      </c>
      <c r="B936" s="21" t="s">
        <v>499</v>
      </c>
      <c r="C936" s="21" t="s">
        <v>500</v>
      </c>
      <c r="D936" s="21">
        <v>2019</v>
      </c>
      <c r="E936" s="21" t="s">
        <v>928</v>
      </c>
      <c r="F936" s="21" t="s">
        <v>197</v>
      </c>
      <c r="G936" s="21" t="str">
        <f>HYPERLINK("http://dx.doi.org/10.1016/j.scitotenv.2019.06.058","http://dx.doi.org/10.1016/j.scitotenv.2019.06.058")</f>
        <v>http://dx.doi.org/10.1016/j.scitotenv.2019.06.058</v>
      </c>
      <c r="H936" s="21" t="s">
        <v>2826</v>
      </c>
      <c r="I936" s="21" t="s">
        <v>2835</v>
      </c>
      <c r="J936" s="21" t="s">
        <v>2219</v>
      </c>
      <c r="K936" s="20" t="s">
        <v>0</v>
      </c>
    </row>
    <row r="937" spans="1:11" x14ac:dyDescent="0.2">
      <c r="A937" s="30" t="s">
        <v>2821</v>
      </c>
      <c r="B937" s="21" t="s">
        <v>873</v>
      </c>
      <c r="C937" s="21" t="s">
        <v>874</v>
      </c>
      <c r="D937" s="21">
        <v>2013</v>
      </c>
      <c r="E937" s="21" t="s">
        <v>930</v>
      </c>
      <c r="F937" s="21" t="s">
        <v>220</v>
      </c>
      <c r="G937" s="21" t="str">
        <f>HYPERLINK("http://dx.doi.org/10.1039/c3ee40880a","http://dx.doi.org/10.1039/c3ee40880a")</f>
        <v>http://dx.doi.org/10.1039/c3ee40880a</v>
      </c>
      <c r="H937" s="21" t="s">
        <v>2826</v>
      </c>
      <c r="I937" s="21" t="s">
        <v>2833</v>
      </c>
      <c r="J937" s="21" t="s">
        <v>2827</v>
      </c>
      <c r="K937" s="20" t="s">
        <v>0</v>
      </c>
    </row>
    <row r="938" spans="1:11" x14ac:dyDescent="0.2">
      <c r="A938" s="30" t="s">
        <v>2821</v>
      </c>
      <c r="B938" s="21" t="s">
        <v>899</v>
      </c>
      <c r="C938" s="21" t="s">
        <v>900</v>
      </c>
      <c r="D938" s="21">
        <v>2020</v>
      </c>
      <c r="E938" s="21" t="s">
        <v>925</v>
      </c>
      <c r="F938" s="21" t="s">
        <v>144</v>
      </c>
      <c r="G938" s="21" t="str">
        <f>HYPERLINK("http://dx.doi.org/10.1016/j.jclepro.2020.121718","http://dx.doi.org/10.1016/j.jclepro.2020.121718")</f>
        <v>http://dx.doi.org/10.1016/j.jclepro.2020.121718</v>
      </c>
      <c r="H938" s="21" t="s">
        <v>2826</v>
      </c>
      <c r="I938" s="21" t="s">
        <v>2833</v>
      </c>
      <c r="J938" s="21" t="s">
        <v>2827</v>
      </c>
      <c r="K938" s="20" t="s">
        <v>0</v>
      </c>
    </row>
    <row r="939" spans="1:11" x14ac:dyDescent="0.2">
      <c r="A939" s="30" t="s">
        <v>2820</v>
      </c>
      <c r="B939" s="21" t="s">
        <v>2321</v>
      </c>
      <c r="C939" s="21" t="s">
        <v>2320</v>
      </c>
      <c r="D939" s="21">
        <v>2023</v>
      </c>
      <c r="E939" s="21" t="s">
        <v>933</v>
      </c>
      <c r="F939" s="21" t="s">
        <v>451</v>
      </c>
      <c r="G939" s="21" t="str">
        <f>HYPERLINK("http://dx.doi.org/10.1038/s41467-023-37373-4","http://dx.doi.org/10.1038/s41467-023-37373-4")</f>
        <v>http://dx.doi.org/10.1038/s41467-023-37373-4</v>
      </c>
      <c r="H939" s="21" t="s">
        <v>1230</v>
      </c>
      <c r="I939" s="21" t="s">
        <v>2262</v>
      </c>
      <c r="J939" s="21" t="s">
        <v>2262</v>
      </c>
      <c r="K939" s="20" t="s">
        <v>0</v>
      </c>
    </row>
    <row r="940" spans="1:11" x14ac:dyDescent="0.2">
      <c r="A940" s="30" t="s">
        <v>1569</v>
      </c>
      <c r="B940" s="21" t="s">
        <v>1732</v>
      </c>
      <c r="C940" s="21" t="s">
        <v>1614</v>
      </c>
      <c r="D940" s="21">
        <v>2019</v>
      </c>
      <c r="E940" s="21" t="s">
        <v>925</v>
      </c>
      <c r="F940" s="21" t="s">
        <v>144</v>
      </c>
      <c r="G940" s="21" t="str">
        <f>HYPERLINK("http://dx.doi.org/10.1016/j.jclepro.2018.11.044","http://dx.doi.org/10.1016/j.jclepro.2018.11.044")</f>
        <v>http://dx.doi.org/10.1016/j.jclepro.2018.11.044</v>
      </c>
      <c r="H940" s="21" t="s">
        <v>2826</v>
      </c>
      <c r="I940" s="21" t="s">
        <v>2835</v>
      </c>
      <c r="J940" s="21" t="s">
        <v>2219</v>
      </c>
      <c r="K940" s="20" t="s">
        <v>0</v>
      </c>
    </row>
    <row r="941" spans="1:11" x14ac:dyDescent="0.2">
      <c r="A941" s="30" t="s">
        <v>2821</v>
      </c>
      <c r="B941" s="21" t="s">
        <v>911</v>
      </c>
      <c r="C941" s="21" t="s">
        <v>912</v>
      </c>
      <c r="D941" s="21">
        <v>2023</v>
      </c>
      <c r="E941" s="21" t="s">
        <v>994</v>
      </c>
      <c r="F941" s="21" t="s">
        <v>913</v>
      </c>
      <c r="G941" s="21" t="str">
        <f>HYPERLINK("http://dx.doi.org/10.1128/spectrum.00817-23","http://dx.doi.org/10.1128/spectrum.00817-23")</f>
        <v>http://dx.doi.org/10.1128/spectrum.00817-23</v>
      </c>
      <c r="H941" s="21" t="s">
        <v>2826</v>
      </c>
      <c r="I941" s="21" t="s">
        <v>2836</v>
      </c>
      <c r="J941" s="21" t="s">
        <v>2830</v>
      </c>
      <c r="K941" s="20" t="s">
        <v>0</v>
      </c>
    </row>
    <row r="942" spans="1:11" x14ac:dyDescent="0.2">
      <c r="A942" s="30" t="s">
        <v>2821</v>
      </c>
      <c r="B942" s="21" t="s">
        <v>302</v>
      </c>
      <c r="C942" s="21" t="s">
        <v>303</v>
      </c>
      <c r="D942" s="21">
        <v>2024</v>
      </c>
      <c r="E942" s="21" t="s">
        <v>934</v>
      </c>
      <c r="F942" s="21" t="s">
        <v>304</v>
      </c>
      <c r="G942" s="21" t="str">
        <f>HYPERLINK("http://dx.doi.org/10.1016/j.enbuild.2023.113824","http://dx.doi.org/10.1016/j.enbuild.2023.113824")</f>
        <v>http://dx.doi.org/10.1016/j.enbuild.2023.113824</v>
      </c>
      <c r="H942" s="21" t="s">
        <v>1230</v>
      </c>
      <c r="I942" s="21" t="s">
        <v>2262</v>
      </c>
      <c r="J942" s="21" t="s">
        <v>2262</v>
      </c>
      <c r="K942" s="20" t="s">
        <v>0</v>
      </c>
    </row>
    <row r="943" spans="1:11" x14ac:dyDescent="0.2">
      <c r="A943" s="30" t="s">
        <v>2821</v>
      </c>
      <c r="B943" s="21" t="s">
        <v>2253</v>
      </c>
      <c r="C943" s="21" t="s">
        <v>2255</v>
      </c>
      <c r="D943" s="21">
        <v>2025</v>
      </c>
      <c r="E943" s="21" t="s">
        <v>929</v>
      </c>
      <c r="F943" s="21" t="s">
        <v>2257</v>
      </c>
      <c r="G943" s="21" t="str">
        <f>HYPERLINK("http://dx.doi.org/10.1007/s00202-024-02924-5","http://dx.doi.org/10.1007/s00202-024-02924-5")</f>
        <v>http://dx.doi.org/10.1007/s00202-024-02924-5</v>
      </c>
      <c r="H943" s="21" t="s">
        <v>2826</v>
      </c>
      <c r="I943" s="21" t="s">
        <v>2900</v>
      </c>
      <c r="J943" s="21" t="s">
        <v>2828</v>
      </c>
      <c r="K943" s="20" t="s">
        <v>0</v>
      </c>
    </row>
    <row r="944" spans="1:11" x14ac:dyDescent="0.2">
      <c r="A944" s="30" t="s">
        <v>1569</v>
      </c>
      <c r="B944" s="21" t="s">
        <v>1702</v>
      </c>
      <c r="C944" s="21" t="s">
        <v>1588</v>
      </c>
      <c r="D944" s="21">
        <v>2019</v>
      </c>
      <c r="E944" s="21" t="s">
        <v>925</v>
      </c>
      <c r="F944" s="21" t="s">
        <v>144</v>
      </c>
      <c r="G944" s="21" t="str">
        <f>HYPERLINK("http://dx.doi.org/10.1016/j.jclepro.2019.04.167","http://dx.doi.org/10.1016/j.jclepro.2019.04.167")</f>
        <v>http://dx.doi.org/10.1016/j.jclepro.2019.04.167</v>
      </c>
      <c r="H944" s="21" t="s">
        <v>2826</v>
      </c>
      <c r="I944" s="21" t="s">
        <v>2835</v>
      </c>
      <c r="J944" s="21" t="s">
        <v>2218</v>
      </c>
      <c r="K944" s="20" t="s">
        <v>0</v>
      </c>
    </row>
    <row r="945" spans="1:11" x14ac:dyDescent="0.2">
      <c r="A945" s="30" t="s">
        <v>1569</v>
      </c>
      <c r="B945" s="21" t="s">
        <v>1987</v>
      </c>
      <c r="C945" s="21" t="s">
        <v>1563</v>
      </c>
      <c r="D945" s="21">
        <v>2015</v>
      </c>
      <c r="E945" s="21" t="s">
        <v>995</v>
      </c>
      <c r="F945" s="21" t="s">
        <v>1988</v>
      </c>
      <c r="G945" s="21" t="str">
        <f>HYPERLINK("http://dx.doi.org/10.1016/j.esr.2014.08.001","http://dx.doi.org/10.1016/j.esr.2014.08.001")</f>
        <v>http://dx.doi.org/10.1016/j.esr.2014.08.001</v>
      </c>
      <c r="H945" s="21" t="s">
        <v>2826</v>
      </c>
      <c r="I945" s="21" t="s">
        <v>2835</v>
      </c>
      <c r="J945" s="21" t="s">
        <v>2218</v>
      </c>
      <c r="K945" s="20" t="s">
        <v>0</v>
      </c>
    </row>
    <row r="946" spans="1:11" x14ac:dyDescent="0.2">
      <c r="A946" s="30" t="s">
        <v>1569</v>
      </c>
      <c r="B946" s="21" t="s">
        <v>1901</v>
      </c>
      <c r="C946" s="21" t="s">
        <v>1565</v>
      </c>
      <c r="D946" s="21">
        <v>2016</v>
      </c>
      <c r="E946" s="21" t="s">
        <v>931</v>
      </c>
      <c r="F946" s="21" t="s">
        <v>43</v>
      </c>
      <c r="G946" s="21" t="str">
        <f>HYPERLINK("http://dx.doi.org/10.1016/j.energy.2016.08.046","http://dx.doi.org/10.1016/j.energy.2016.08.046")</f>
        <v>http://dx.doi.org/10.1016/j.energy.2016.08.046</v>
      </c>
      <c r="H946" s="21" t="s">
        <v>2826</v>
      </c>
      <c r="I946" s="21" t="s">
        <v>2835</v>
      </c>
      <c r="J946" s="21" t="s">
        <v>2218</v>
      </c>
      <c r="K946" s="20" t="s">
        <v>0</v>
      </c>
    </row>
    <row r="947" spans="1:11" x14ac:dyDescent="0.2">
      <c r="A947" s="30" t="s">
        <v>1569</v>
      </c>
      <c r="B947" s="21" t="s">
        <v>2084</v>
      </c>
      <c r="C947" s="21" t="s">
        <v>1564</v>
      </c>
      <c r="D947" s="21">
        <v>2011</v>
      </c>
      <c r="E947" s="21" t="s">
        <v>931</v>
      </c>
      <c r="F947" s="21" t="s">
        <v>329</v>
      </c>
      <c r="G947" s="21" t="str">
        <f>HYPERLINK("http://dx.doi.org/10.1016/j.wasman.2010.11.007","http://dx.doi.org/10.1016/j.wasman.2010.11.007")</f>
        <v>http://dx.doi.org/10.1016/j.wasman.2010.11.007</v>
      </c>
      <c r="H947" s="21" t="s">
        <v>2826</v>
      </c>
      <c r="I947" s="21" t="s">
        <v>2835</v>
      </c>
      <c r="J947" s="21" t="s">
        <v>2214</v>
      </c>
      <c r="K947" s="20" t="s">
        <v>0</v>
      </c>
    </row>
    <row r="948" spans="1:11" x14ac:dyDescent="0.2">
      <c r="A948" s="30" t="s">
        <v>2820</v>
      </c>
      <c r="B948" s="21" t="s">
        <v>2339</v>
      </c>
      <c r="C948" s="21" t="s">
        <v>2338</v>
      </c>
      <c r="D948" s="21">
        <v>2019</v>
      </c>
      <c r="E948" s="21" t="s">
        <v>2340</v>
      </c>
      <c r="F948" s="21" t="s">
        <v>1198</v>
      </c>
      <c r="G948" s="21" t="str">
        <f>HYPERLINK("http://dx.doi.org/10.1038/s41558-019-0459-z","http://dx.doi.org/10.1038/s41558-019-0459-z")</f>
        <v>http://dx.doi.org/10.1038/s41558-019-0459-z</v>
      </c>
      <c r="H948" s="21" t="s">
        <v>1230</v>
      </c>
      <c r="I948" s="21" t="s">
        <v>2262</v>
      </c>
      <c r="J948" s="21" t="s">
        <v>2262</v>
      </c>
      <c r="K948" s="20" t="s">
        <v>0</v>
      </c>
    </row>
    <row r="949" spans="1:11" x14ac:dyDescent="0.2">
      <c r="A949" s="30" t="s">
        <v>1569</v>
      </c>
      <c r="B949" s="21" t="s">
        <v>1772</v>
      </c>
      <c r="C949" s="21" t="s">
        <v>1566</v>
      </c>
      <c r="D949" s="21">
        <v>2018</v>
      </c>
      <c r="E949" s="21" t="s">
        <v>930</v>
      </c>
      <c r="F949" s="21" t="s">
        <v>469</v>
      </c>
      <c r="G949" s="21" t="str">
        <f>HYPERLINK("http://dx.doi.org/10.1039/c8gc01181h","http://dx.doi.org/10.1039/c8gc01181h")</f>
        <v>http://dx.doi.org/10.1039/c8gc01181h</v>
      </c>
      <c r="H949" s="21" t="s">
        <v>2826</v>
      </c>
      <c r="I949" s="21" t="s">
        <v>2835</v>
      </c>
      <c r="J949" s="21" t="s">
        <v>2218</v>
      </c>
      <c r="K949" s="20" t="s">
        <v>0</v>
      </c>
    </row>
    <row r="950" spans="1:11" x14ac:dyDescent="0.2">
      <c r="A950" s="30" t="s">
        <v>2822</v>
      </c>
      <c r="B950" s="21" t="s">
        <v>1235</v>
      </c>
      <c r="C950" s="21" t="s">
        <v>47</v>
      </c>
      <c r="D950" s="21">
        <v>2021</v>
      </c>
      <c r="E950" s="21" t="s">
        <v>933</v>
      </c>
      <c r="F950" s="21" t="s">
        <v>451</v>
      </c>
      <c r="G950" s="21" t="str">
        <f>HYPERLINK("http://dx.doi.org/10.1038/s41467-021-26212-z","http://dx.doi.org/10.1038/s41467-021-26212-z")</f>
        <v>http://dx.doi.org/10.1038/s41467-021-26212-z</v>
      </c>
      <c r="H950" s="21" t="s">
        <v>1230</v>
      </c>
      <c r="I950" s="21" t="s">
        <v>2262</v>
      </c>
      <c r="J950" s="21" t="s">
        <v>2262</v>
      </c>
      <c r="K950" s="20" t="s">
        <v>0</v>
      </c>
    </row>
    <row r="951" spans="1:11" x14ac:dyDescent="0.2">
      <c r="A951" s="30" t="s">
        <v>1569</v>
      </c>
      <c r="B951" s="21" t="s">
        <v>1923</v>
      </c>
      <c r="C951" s="21" t="s">
        <v>1642</v>
      </c>
      <c r="D951" s="21">
        <v>2016</v>
      </c>
      <c r="E951" s="21" t="s">
        <v>925</v>
      </c>
      <c r="F951" s="21" t="s">
        <v>167</v>
      </c>
      <c r="G951" s="21" t="str">
        <f>HYPERLINK("http://dx.doi.org/10.1016/j.apenergy.2016.05.004","http://dx.doi.org/10.1016/j.apenergy.2016.05.004")</f>
        <v>http://dx.doi.org/10.1016/j.apenergy.2016.05.004</v>
      </c>
      <c r="H951" s="21" t="s">
        <v>2826</v>
      </c>
      <c r="I951" s="21" t="s">
        <v>2833</v>
      </c>
      <c r="J951" s="21" t="s">
        <v>2827</v>
      </c>
      <c r="K951" s="20" t="s">
        <v>0</v>
      </c>
    </row>
    <row r="952" spans="1:11" x14ac:dyDescent="0.2">
      <c r="A952" s="30" t="s">
        <v>2820</v>
      </c>
      <c r="B952" s="21" t="s">
        <v>2323</v>
      </c>
      <c r="C952" s="21" t="s">
        <v>2324</v>
      </c>
      <c r="D952" s="21">
        <v>2022</v>
      </c>
      <c r="E952" s="21" t="s">
        <v>931</v>
      </c>
      <c r="F952" s="21" t="s">
        <v>1238</v>
      </c>
      <c r="G952" s="21" t="str">
        <f>HYPERLINK("http://dx.doi.org/10.1016/j.compchemeng.2022.107798","http://dx.doi.org/10.1016/j.compchemeng.2022.107798")</f>
        <v>http://dx.doi.org/10.1016/j.compchemeng.2022.107798</v>
      </c>
      <c r="H952" s="21" t="s">
        <v>1230</v>
      </c>
      <c r="I952" s="21" t="s">
        <v>2262</v>
      </c>
      <c r="J952" s="21" t="s">
        <v>2262</v>
      </c>
      <c r="K952" s="20" t="s">
        <v>0</v>
      </c>
    </row>
    <row r="953" spans="1:11" x14ac:dyDescent="0.2">
      <c r="A953" s="30" t="s">
        <v>2820</v>
      </c>
      <c r="B953" s="21" t="s">
        <v>2323</v>
      </c>
      <c r="C953" s="21" t="s">
        <v>2328</v>
      </c>
      <c r="D953" s="21">
        <v>2024</v>
      </c>
      <c r="E953" s="21" t="s">
        <v>931</v>
      </c>
      <c r="F953" s="21" t="s">
        <v>1238</v>
      </c>
      <c r="G953" s="21" t="str">
        <f>HYPERLINK("http://dx.doi.org/10.1016/j.compchemeng.2024.108721","http://dx.doi.org/10.1016/j.compchemeng.2024.108721")</f>
        <v>http://dx.doi.org/10.1016/j.compchemeng.2024.108721</v>
      </c>
      <c r="H953" s="21" t="s">
        <v>1230</v>
      </c>
      <c r="I953" s="21" t="s">
        <v>2262</v>
      </c>
      <c r="J953" s="21" t="s">
        <v>2262</v>
      </c>
      <c r="K953" s="20" t="s">
        <v>0</v>
      </c>
    </row>
    <row r="954" spans="1:11" x14ac:dyDescent="0.2">
      <c r="A954" s="30" t="s">
        <v>2821</v>
      </c>
      <c r="B954" s="21" t="s">
        <v>1150</v>
      </c>
      <c r="C954" s="21" t="s">
        <v>1088</v>
      </c>
      <c r="D954" s="21">
        <v>2023</v>
      </c>
      <c r="E954" s="21" t="s">
        <v>41</v>
      </c>
      <c r="F954" s="21" t="s">
        <v>90</v>
      </c>
      <c r="G954" s="21" t="str">
        <f>HYPERLINK("http://dx.doi.org/10.3390/en16010083","http://dx.doi.org/10.3390/en16010083")</f>
        <v>http://dx.doi.org/10.3390/en16010083</v>
      </c>
      <c r="H954" s="21" t="s">
        <v>2826</v>
      </c>
      <c r="I954" s="21" t="s">
        <v>2900</v>
      </c>
      <c r="J954" s="21" t="s">
        <v>2828</v>
      </c>
      <c r="K954" s="20" t="s">
        <v>0</v>
      </c>
    </row>
    <row r="955" spans="1:11" x14ac:dyDescent="0.2">
      <c r="A955" s="30" t="s">
        <v>2821</v>
      </c>
      <c r="B955" s="21" t="s">
        <v>779</v>
      </c>
      <c r="C955" s="21" t="s">
        <v>780</v>
      </c>
      <c r="D955" s="21">
        <v>2018</v>
      </c>
      <c r="E955" s="21" t="s">
        <v>927</v>
      </c>
      <c r="F955" s="21" t="s">
        <v>130</v>
      </c>
      <c r="G955" s="21" t="str">
        <f>HYPERLINK("http://dx.doi.org/10.1051/mattech/2018028","http://dx.doi.org/10.1051/mattech/2018028")</f>
        <v>http://dx.doi.org/10.1051/mattech/2018028</v>
      </c>
      <c r="H955" s="21" t="s">
        <v>2826</v>
      </c>
      <c r="I955" s="21" t="s">
        <v>2835</v>
      </c>
      <c r="J955" s="21" t="s">
        <v>2214</v>
      </c>
      <c r="K955" s="20" t="s">
        <v>0</v>
      </c>
    </row>
    <row r="956" spans="1:11" x14ac:dyDescent="0.2">
      <c r="A956" s="30" t="s">
        <v>1569</v>
      </c>
      <c r="B956" s="21" t="s">
        <v>2187</v>
      </c>
      <c r="C956" s="21" t="s">
        <v>1567</v>
      </c>
      <c r="D956" s="21">
        <v>2011</v>
      </c>
      <c r="E956" s="21" t="s">
        <v>926</v>
      </c>
      <c r="F956" s="21" t="s">
        <v>209</v>
      </c>
      <c r="G956" s="21" t="str">
        <f>HYPERLINK("http://dx.doi.org/10.1007/s11367-011-0286-6","http://dx.doi.org/10.1007/s11367-011-0286-6")</f>
        <v>http://dx.doi.org/10.1007/s11367-011-0286-6</v>
      </c>
      <c r="H956" s="21" t="s">
        <v>2825</v>
      </c>
      <c r="I956" s="21" t="s">
        <v>2835</v>
      </c>
      <c r="J956" s="21" t="s">
        <v>2221</v>
      </c>
      <c r="K956" s="20" t="s">
        <v>0</v>
      </c>
    </row>
    <row r="957" spans="1:11" x14ac:dyDescent="0.2">
      <c r="A957" s="30" t="s">
        <v>2821</v>
      </c>
      <c r="B957" s="21" t="s">
        <v>189</v>
      </c>
      <c r="C957" s="21" t="s">
        <v>190</v>
      </c>
      <c r="D957" s="21">
        <v>2015</v>
      </c>
      <c r="E957" s="21" t="s">
        <v>941</v>
      </c>
      <c r="F957" s="21" t="s">
        <v>191</v>
      </c>
      <c r="G957" s="21" t="str">
        <f>HYPERLINK("http://dx.doi.org/10.1002/ieam.1646","http://dx.doi.org/10.1002/ieam.1646")</f>
        <v>http://dx.doi.org/10.1002/ieam.1646</v>
      </c>
      <c r="H957" s="21" t="s">
        <v>2825</v>
      </c>
      <c r="I957" s="21" t="s">
        <v>2835</v>
      </c>
      <c r="J957" s="21" t="s">
        <v>2218</v>
      </c>
      <c r="K957" s="20" t="s">
        <v>0</v>
      </c>
    </row>
    <row r="958" spans="1:11" x14ac:dyDescent="0.2">
      <c r="A958" s="30" t="s">
        <v>2821</v>
      </c>
      <c r="B958" s="21" t="s">
        <v>215</v>
      </c>
      <c r="C958" s="21" t="s">
        <v>216</v>
      </c>
      <c r="D958" s="21">
        <v>2024</v>
      </c>
      <c r="E958" s="21" t="s">
        <v>41</v>
      </c>
      <c r="F958" s="21" t="s">
        <v>217</v>
      </c>
      <c r="G958" s="21" t="str">
        <f>HYPERLINK("http://dx.doi.org/10.3390/buildings14020360","http://dx.doi.org/10.3390/buildings14020360")</f>
        <v>http://dx.doi.org/10.3390/buildings14020360</v>
      </c>
      <c r="H958" s="21" t="s">
        <v>2826</v>
      </c>
      <c r="I958" s="21" t="s">
        <v>2832</v>
      </c>
      <c r="J958" s="21" t="s">
        <v>2213</v>
      </c>
      <c r="K958" s="20" t="s">
        <v>0</v>
      </c>
    </row>
    <row r="959" spans="1:11" x14ac:dyDescent="0.2">
      <c r="A959" s="30" t="s">
        <v>1569</v>
      </c>
      <c r="B959" s="21" t="s">
        <v>1765</v>
      </c>
      <c r="C959" s="21" t="s">
        <v>1568</v>
      </c>
      <c r="D959" s="21">
        <v>2018</v>
      </c>
      <c r="E959" s="21" t="s">
        <v>925</v>
      </c>
      <c r="F959" s="21" t="s">
        <v>144</v>
      </c>
      <c r="G959" s="21" t="str">
        <f>HYPERLINK("http://dx.doi.org/10.1016/j.jclepro.2018.05.130","http://dx.doi.org/10.1016/j.jclepro.2018.05.130")</f>
        <v>http://dx.doi.org/10.1016/j.jclepro.2018.05.130</v>
      </c>
      <c r="H959" s="21" t="s">
        <v>2826</v>
      </c>
      <c r="I959" s="21" t="s">
        <v>2835</v>
      </c>
      <c r="J959" s="21" t="s">
        <v>2219</v>
      </c>
      <c r="K959" s="20" t="s">
        <v>0</v>
      </c>
    </row>
  </sheetData>
  <autoFilter ref="A1:J959" xr:uid="{177E94E2-CAA0-4DA1-9AB5-A5546D309C9D}">
    <sortState xmlns:xlrd2="http://schemas.microsoft.com/office/spreadsheetml/2017/richdata2" ref="A2:J959">
      <sortCondition ref="B1:B959"/>
    </sortState>
  </autoFilter>
  <conditionalFormatting sqref="C1:C1048576">
    <cfRule type="duplicateValues" dxfId="2" priority="1"/>
    <cfRule type="duplicateValues" dxfId="1" priority="2"/>
    <cfRule type="duplicateValues" dxfId="0" priority="3"/>
  </conditionalFormatting>
  <hyperlinks>
    <hyperlink ref="G611" r:id="rId1" xr:uid="{A55B0E72-5E33-4AFF-8AC1-8DD14EF6FC42}"/>
    <hyperlink ref="G15" r:id="rId2" xr:uid="{236242C7-B615-4A36-B57B-8997DFA29149}"/>
    <hyperlink ref="G364" r:id="rId3" xr:uid="{4C0B1B56-A521-453F-9D2B-1D527EAF95BC}"/>
    <hyperlink ref="G324" r:id="rId4" xr:uid="{0716E67A-6EA2-4D2A-9118-44DC93E89598}"/>
    <hyperlink ref="G323" r:id="rId5" xr:uid="{EACD159A-E535-4D41-A011-91CAC3790C6F}"/>
    <hyperlink ref="G739" r:id="rId6" xr:uid="{6D5DE176-9A3E-4F45-8578-E1280C3734B6}"/>
    <hyperlink ref="G626" r:id="rId7" xr:uid="{D0F7F337-B1F8-4883-ADFE-B2DE5F7F2D50}"/>
    <hyperlink ref="G651" r:id="rId8" xr:uid="{3BFEDB51-6599-4AEE-A7E4-C33FAA3705EE}"/>
    <hyperlink ref="G240" r:id="rId9" xr:uid="{F4CFEC03-10DA-400A-A3FA-3092C7CC1BA5}"/>
    <hyperlink ref="G30" r:id="rId10" xr:uid="{BE29BEA3-3F34-4DFD-A123-E4F280DE2240}"/>
    <hyperlink ref="G612" r:id="rId11" xr:uid="{838E4A6F-1C55-47FA-A565-111DC226867F}"/>
    <hyperlink ref="G204" r:id="rId12" xr:uid="{9CB4450F-7E02-48F4-A541-FECB89C47022}"/>
    <hyperlink ref="G535" r:id="rId13" xr:uid="{8BAD9127-E0F6-44C9-A909-96AB91986A8D}"/>
    <hyperlink ref="G238" r:id="rId14" xr:uid="{BF3331D5-10FF-4281-9232-EC8E1E32E7EE}"/>
    <hyperlink ref="G451" r:id="rId15" xr:uid="{1DF78FD4-3D19-4B4B-8F2B-FB0E3C64234C}"/>
    <hyperlink ref="G504" r:id="rId16" xr:uid="{2C9AE0AD-1D96-42B3-97CA-BBBF31B158FF}"/>
  </hyperlinks>
  <pageMargins left="0.7" right="0.7" top="0.75" bottom="0.75" header="0.3" footer="0.3"/>
  <pageSetup paperSize="9" orientation="portrait" verticalDpi="0" r:id="rId17"/>
  <headerFooter>
    <oddFooter>&amp;L_x000D_&amp;1#&amp;"Calibri"&amp;10&amp;K000000 Classified as | Public - Publiek (Openbaar)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E A A B Q S w M E F A A C A A g A d U o w W j y A p 6 y j A A A A 9 g A A A B I A H A B D b 2 5 m a W c v U G F j a 2 F n Z S 5 4 b W w g o h g A K K A U A A A A A A A A A A A A A A A A A A A A A A A A A A A A h Y + 9 D o I w F I V f h X S n P 7 A Q c q m D K x g T E + N K S o V G u B h a L O / m 4 C P 5 C m I U d X M 8 3 / m G c + 7 X G 6 y m r g 0 u e r C m x 4 w I y k m g U f W V w T o j o z u G C V l J 2 J b q V N Y 6 m G W 0 6 W S r j D T O n V P G v P f U x 7 Q f a h Z x L t i h y H e q 0 V 1 J P r L 5 L 4 c G r S t R a S J h / x o j I y r i h I q E U w 5 s g V A Y / A r R v P f Z / k B Y j 6 0 b B y 0 1 h p s c 2 B K B v T / I B 1 B L A w Q U A A I A C A B 1 S j B 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U o w W s E j i 1 2 j A Q A A u w I A A B M A H A B G b 3 J t d W x h c y 9 T Z W N 0 a W 9 u M S 5 t I K I Y A C i g F A A A A A A A A A A A A A A A A A A A A A A A A A A A A G 1 S T Y v b M B S 8 B / I f H s r F B t d k P 9 p D F 0 O D 0 7 K G X Q h N S g 9 x C K r 1 b A t k K T z J S U P I f 6 / s d d 0 t x B f L M 6 N 5 8 w Z b L J w 0 G t Z v 7 7 u n 6 W Q 6 s T U n F D B j G / 5 L 4 X z + A M G K V w g f Q w Y J K H T T C f h n b V o q 0 C M r U c a 9 1 A b f p M I 4 N d q h d j Z g 6 e f 8 h 0 W y O e d k d G 5 b K g X J I 8 I H W H Q I r D h J + 2 X E 4 + 4 U a 5 W v 6 m X u 5 7 5 I h 8 R d S 5 j / l C h Q 1 6 Z E 2 t / P 7 x / 3 m R a t d X S G D X F t S 0 M N 7 1 a w 4 I / w L K v a L 0 V H 6 R O u y B y l 9 Z z U F Z y k q + H F n J D g q 0 a q z s C 1 g F f u B 0 m u Y I m N / 9 4 v 4 D s e J Z 7 A l P B q B C r b y 9 Y F a p / Y 2 P 0 6 i w + i Z G E E 2 6 w 5 K G z 8 w v 3 8 h N 3 F D 2 w X R m 8 l j R U m Q 1 + X b S a S s V m 2 u 2 6 X 3 P H d I J 8 x H 7 Y x z t f / j F z 4 6 r r K e 3 U 8 M A M e / L X w C Q Z m o d S 6 4 I q T T R y 1 O G a Y s b T m u v K e m / M B / x m O x a V G t Y 3 u S B v c S B B d L h 0 o 2 s J B R a Y 9 s A i c F 4 P D 3 + 4 a w Y W l p t X O o 5 l 2 n x 7 j z q i H / 7 s E Q e H / i z i 8 f f k d + 8 7 k G k 4 n U t / c 4 u k P U E s B A i 0 A F A A C A A g A d U o w W j y A p 6 y j A A A A 9 g A A A B I A A A A A A A A A A A A A A A A A A A A A A E N v b m Z p Z y 9 Q Y W N r Y W d l L n h t b F B L A Q I t A B Q A A g A I A H V K M F o P y u m r p A A A A O k A A A A T A A A A A A A A A A A A A A A A A O 8 A A A B b Q 2 9 u d G V u d F 9 U e X B l c 1 0 u e G 1 s U E s B A i 0 A F A A C A A g A d U o w W s E j i 1 2 j A Q A A u w I A A B M A A A A A A A A A A A A A A A A A 4 A E A A E Z v c m 1 1 b G F z L 1 N l Y 3 R p b 2 4 x L m 1 Q S w U G A A A A A A M A A w D C A A A A 0 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t g s A A A A A A A C U C 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w M D M l M j A o U G F n Z S U y M D U p P C 9 J d G V t U G F 0 a D 4 8 L 0 l 0 Z W 1 M b 2 N h d G l v b j 4 8 U 3 R h Y m x l R W 5 0 c m l l c z 4 8 R W 5 0 c n k g V H l w Z T 0 i S X N Q c m l 2 Y X R l I i B W Y W x 1 Z T 0 i b D A i I C 8 + P E V u d H J 5 I F R 5 c G U 9 I l F 1 Z X J 5 S U Q i I F Z h b H V l P S J z O G Q x M T h h M G E t Y j U 2 N C 0 0 Z T g y L W E 2 N G M t N 2 U 5 Z W R j Y T U 2 N D k 2 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5 I i A v P j x F b n R y e S B U e X B l P S J G a W x s R X J y b 3 J D b 2 R l I i B W Y W x 1 Z T 0 i c 1 V u a 2 5 v d 2 4 i I C 8 + P E V u d H J 5 I F R 5 c G U 9 I k Z p b G x F c n J v c k N v d W 5 0 I i B W Y W x 1 Z T 0 i b D A i I C 8 + P E V u d H J 5 I F R 5 c G U 9 I k Z p b G x M Y X N 0 V X B k Y X R l Z C I g V m F s d W U 9 I m Q y M D I 1 L T A x L T E 2 V D A 4 O j E z O j M 3 L j Q 4 N z g 5 N z l a I i A v P j x F b n R y e S B U e X B l P S J G a W x s Q 2 9 s d W 1 u V H l w Z X M i I F Z h b H V l P S J z Q m d N R 0 F 3 P T 0 i I C 8 + P E V u d H J 5 I F R 5 c G U 9 I k Z p b G x D b 2 x 1 b W 5 O Y W 1 l c y I g V m F s d W U 9 I n N b J n F 1 b 3 Q 7 U H J v Z H V j d C B n c m 9 1 c C Z x d W 9 0 O y w m c X V v d D t D b 3 V u d C Z x d W 9 0 O y w m c X V v d D t Q c m 9 k d W N 0 I G d y b 3 V w I C h j b 2 5 0 L i k m c X V v d D s s J n F 1 b 3 Q 7 Q 2 9 1 b n Q g K G N v b n Q u K 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R h Y m x l M D A z I C h Q Y W d l I D U p L 0 F 1 d G 9 S Z W 1 v d m V k Q 2 9 s d W 1 u c z E u e 1 B y b 2 R 1 Y 3 Q g Z 3 J v d X A s M H 0 m c X V v d D s s J n F 1 b 3 Q 7 U 2 V j d G l v b j E v V G F i b G U w M D M g K F B h Z 2 U g N S k v Q X V 0 b 1 J l b W 9 2 Z W R D b 2 x 1 b W 5 z M S 5 7 Q 2 9 1 b n Q s M X 0 m c X V v d D s s J n F 1 b 3 Q 7 U 2 V j d G l v b j E v V G F i b G U w M D M g K F B h Z 2 U g N S k v Q X V 0 b 1 J l b W 9 2 Z W R D b 2 x 1 b W 5 z M S 5 7 U H J v Z H V j d C B n c m 9 1 c C A o Y 2 9 u d C 4 p L D J 9 J n F 1 b 3 Q 7 L C Z x d W 9 0 O 1 N l Y 3 R p b 2 4 x L 1 R h Y m x l M D A z I C h Q Y W d l I D U p L 0 F 1 d G 9 S Z W 1 v d m V k Q 2 9 s d W 1 u c z E u e 0 N v d W 5 0 I C h j b 2 5 0 L i k s M 3 0 m c X V v d D t d L C Z x d W 9 0 O 0 N v b H V t b k N v d W 5 0 J n F 1 b 3 Q 7 O j Q s J n F 1 b 3 Q 7 S 2 V 5 Q 2 9 s d W 1 u T m F t Z X M m c X V v d D s 6 W 1 0 s J n F 1 b 3 Q 7 Q 2 9 s d W 1 u S W R l b n R p d G l l c y Z x d W 9 0 O z p b J n F 1 b 3 Q 7 U 2 V j d G l v b j E v V G F i b G U w M D M g K F B h Z 2 U g N S k v Q X V 0 b 1 J l b W 9 2 Z W R D b 2 x 1 b W 5 z M S 5 7 U H J v Z H V j d C B n c m 9 1 c C w w f S Z x d W 9 0 O y w m c X V v d D t T Z W N 0 a W 9 u M S 9 U Y W J s Z T A w M y A o U G F n Z S A 1 K S 9 B d X R v U m V t b 3 Z l Z E N v b H V t b n M x L n t D b 3 V u d C w x f S Z x d W 9 0 O y w m c X V v d D t T Z W N 0 a W 9 u M S 9 U Y W J s Z T A w M y A o U G F n Z S A 1 K S 9 B d X R v U m V t b 3 Z l Z E N v b H V t b n M x L n t Q c m 9 k d W N 0 I G d y b 3 V w I C h j b 2 5 0 L i k s M n 0 m c X V v d D s s J n F 1 b 3 Q 7 U 2 V j d G l v b j E v V G F i b G U w M D M g K F B h Z 2 U g N S k v Q X V 0 b 1 J l b W 9 2 Z W R D b 2 x 1 b W 5 z M S 5 7 Q 2 9 1 b n Q g K G N v b n Q u K S w z f S Z x d W 9 0 O 1 0 s J n F 1 b 3 Q 7 U m V s Y X R p b 2 5 z a G l w S W 5 m b y Z x d W 9 0 O z p b X X 0 i I C 8 + P C 9 T d G F i b G V F b n R y a W V z P j w v S X R l b T 4 8 S X R l b T 4 8 S X R l b U x v Y 2 F 0 a W 9 u P j x J d G V t V H l w Z T 5 G b 3 J t d W x h P C 9 J d G V t V H l w Z T 4 8 S X R l b V B h d G g + U 2 V j d G l v b j E v V G F i b G U w M D M l M j A o U G F n Z S U y M D U p L 1 N v d X J j Z T w v S X R l b V B h d G g + P C 9 J d G V t T G 9 j Y X R p b 2 4 + P F N 0 Y W J s Z U V u d H J p Z X M g L z 4 8 L 0 l 0 Z W 0 + P E l 0 Z W 0 + P E l 0 Z W 1 M b 2 N h d G l v b j 4 8 S X R l b V R 5 c G U + R m 9 y b X V s Y T w v S X R l b V R 5 c G U + P E l 0 Z W 1 Q Y X R o P l N l Y 3 R p b 2 4 x L 1 R h Y m x l M D A z J T I w K F B h Z 2 U l M j A 1 K S 9 U Y W J s Z T A w M z w v S X R l b V B h d G g + P C 9 J d G V t T G 9 j Y X R p b 2 4 + P F N 0 Y W J s Z U V u d H J p Z X M g L z 4 8 L 0 l 0 Z W 0 + P E l 0 Z W 0 + P E l 0 Z W 1 M b 2 N h d G l v b j 4 8 S X R l b V R 5 c G U + R m 9 y b X V s Y T w v S X R l b V R 5 c G U + P E l 0 Z W 1 Q Y X R o P l N l Y 3 R p b 2 4 x L 1 R h Y m x l M D A z J T I w K F B h Z 2 U l M j A 1 K S 9 Q c m 9 t b 3 R l Z C U y M E h l Y W R l c n M 8 L 0 l 0 Z W 1 Q Y X R o P j w v S X R l b U x v Y 2 F 0 a W 9 u P j x T d G F i b G V F b n R y a W V z I C 8 + P C 9 J d G V t P j x J d G V t P j x J d G V t T G 9 j Y X R p b 2 4 + P E l 0 Z W 1 U e X B l P k Z v c m 1 1 b G E 8 L 0 l 0 Z W 1 U e X B l P j x J d G V t U G F 0 a D 5 T Z W N 0 a W 9 u M S 9 U Y W J s Z T A w M y U y M C h Q Y W d l J T I w N S k v Q 2 h h b m d l Z C U y M F R 5 c G U 8 L 0 l 0 Z W 1 Q Y X R o P j w v S X R l b U x v Y 2 F 0 a W 9 u P j x T d G F i b G V F b n R y a W V z I C 8 + P C 9 J d G V t P j w v S X R l b X M + P C 9 M b 2 N h b F B h Y 2 t h Z 2 V N Z X R h Z G F 0 Y U Z p b G U + F g A A A F B L B Q Y A A A A A A A A A A A A A A A A A A A A A A A A m A Q A A A Q A A A N C M n d 8 B F d E R j H o A w E / C l + s B A A A A u k N D l 4 1 g l k 6 v 2 / 5 X j + o n m g A A A A A C A A A A A A A Q Z g A A A A E A A C A A A A A k y e O H C N j W B p P h k 2 5 z B e o x 6 X m t D y t N d P w w j 8 v v c N Q M C g A A A A A O g A A A A A I A A C A A A A C O 2 W w B P q a o A S W 5 h W L O I h X n v p F j d 6 A 8 s E j T 1 B + Q s v o K 9 l A A A A D c T S H r X N K z 7 0 a r N O 8 S C M m Z f x S g r L 3 X e y c W 7 a o r P p 6 J P p e l / U X 3 H J c N 9 v n c 3 V c a E 3 S S i X e J R u b m x K c 8 S w P q o A O i j U Q I 2 c i e M W t r r Q k P 6 B o 2 4 E A A A A D j E g 7 5 A k 3 I Z O m W e S 7 X O t l X 0 Q Q a L d k e l 5 m v t t d 1 R A J g v h A 9 S j 2 q v u c O Z 6 J y E E 5 U n J c Y x O B d 6 y 9 n a 1 K A Y e K T d C A l < / D a t a M a s h u p > 
</file>

<file path=customXml/itemProps1.xml><?xml version="1.0" encoding="utf-8"?>
<ds:datastoreItem xmlns:ds="http://schemas.openxmlformats.org/officeDocument/2006/customXml" ds:itemID="{2F75D565-EC73-4330-9C56-4FD5B76F8A0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Review matrix</vt:lpstr>
      <vt:lpstr>Variables</vt:lpstr>
      <vt:lpstr>Search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2025-08-26T06:00:41Z</dcterms:created>
  <dcterms:modified xsi:type="dcterms:W3CDTF">2025-11-03T13:36:13Z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4e651f-24a5-4e6a-908a-86ed082a58f2_Enabled">
    <vt:lpwstr>true</vt:lpwstr>
  </property>
  <property fmtid="{D5CDD505-2E9C-101B-9397-08002B2CF9AE}" pid="3" name="MSIP_Label_194e651f-24a5-4e6a-908a-86ed082a58f2_SetDate">
    <vt:lpwstr>2025-10-28T11:51:19Z</vt:lpwstr>
  </property>
  <property fmtid="{D5CDD505-2E9C-101B-9397-08002B2CF9AE}" pid="4" name="MSIP_Label_194e651f-24a5-4e6a-908a-86ed082a58f2_Method">
    <vt:lpwstr>Privileged</vt:lpwstr>
  </property>
  <property fmtid="{D5CDD505-2E9C-101B-9397-08002B2CF9AE}" pid="5" name="MSIP_Label_194e651f-24a5-4e6a-908a-86ed082a58f2_Name">
    <vt:lpwstr>Public - Publiek (Openbaar)</vt:lpwstr>
  </property>
  <property fmtid="{D5CDD505-2E9C-101B-9397-08002B2CF9AE}" pid="6" name="MSIP_Label_194e651f-24a5-4e6a-908a-86ed082a58f2_SiteId">
    <vt:lpwstr>ca2a7f76-dbd7-4ec0-9108-6b3d524fb7c8</vt:lpwstr>
  </property>
  <property fmtid="{D5CDD505-2E9C-101B-9397-08002B2CF9AE}" pid="7" name="MSIP_Label_194e651f-24a5-4e6a-908a-86ed082a58f2_ActionId">
    <vt:lpwstr>7948a14c-2a0e-402a-92c6-6c2d119131a5</vt:lpwstr>
  </property>
  <property fmtid="{D5CDD505-2E9C-101B-9397-08002B2CF9AE}" pid="8" name="MSIP_Label_194e651f-24a5-4e6a-908a-86ed082a58f2_ContentBits">
    <vt:lpwstr>2</vt:lpwstr>
  </property>
  <property fmtid="{D5CDD505-2E9C-101B-9397-08002B2CF9AE}" pid="9" name="MSIP_Label_194e651f-24a5-4e6a-908a-86ed082a58f2_Tag">
    <vt:lpwstr>10, 0, 1, 1</vt:lpwstr>
  </property>
</Properties>
</file>