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Diss\Papers\MWSt. Biolebensmittel\Paper MwSt\1 Revision Round\"/>
    </mc:Choice>
  </mc:AlternateContent>
  <xr:revisionPtr revIDLastSave="0" documentId="13_ncr:1_{89E72E65-92A3-4469-BE07-8BF4C4C953C6}" xr6:coauthVersionLast="47" xr6:coauthVersionMax="47" xr10:uidLastSave="{00000000-0000-0000-0000-000000000000}"/>
  <bookViews>
    <workbookView xWindow="-120" yWindow="-120" windowWidth="20730" windowHeight="11160" xr2:uid="{E41BC528-1FF9-42B2-BDF2-00D78D0656F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9" i="1" l="1" a="1"/>
  <c r="H19" i="1" s="1"/>
  <c r="J19" i="1" a="1"/>
  <c r="J19" i="1" s="1"/>
  <c r="X19" i="1" a="1"/>
  <c r="X19" i="1" s="1"/>
  <c r="W19" i="1" a="1"/>
  <c r="W19" i="1" s="1"/>
  <c r="R19" i="1" a="1"/>
  <c r="R19" i="1" s="1"/>
  <c r="Q19" i="1" a="1"/>
  <c r="Q19" i="1" s="1"/>
  <c r="P19" i="1" a="1"/>
  <c r="P19" i="1" s="1"/>
  <c r="B19" i="1"/>
  <c r="T19" i="1" l="1" a="1"/>
  <c r="T19" i="1" s="1"/>
  <c r="C19" i="1"/>
  <c r="N19" i="1" l="1" a="1"/>
  <c r="N19" i="1" s="1"/>
  <c r="O19" i="1" a="1"/>
  <c r="O19" i="1" s="1"/>
  <c r="E26" i="1" s="1" a="1"/>
  <c r="E26" i="1" s="1"/>
  <c r="AL19" i="1" a="1"/>
  <c r="AL19" i="1" s="1"/>
  <c r="E27" i="1" a="1"/>
  <c r="E27" i="1" s="1"/>
  <c r="D19" i="1" a="1"/>
  <c r="D19" i="1" s="1"/>
  <c r="F19" i="1" l="1" a="1"/>
  <c r="F19" i="1" s="1"/>
  <c r="E23" i="1" s="1" a="1"/>
  <c r="E23" i="1" s="1"/>
  <c r="E19" i="1"/>
  <c r="E22" i="1" a="1"/>
  <c r="E22" i="1" s="1"/>
  <c r="AP19" i="1" a="1"/>
  <c r="AP19" i="1" s="1"/>
  <c r="F23" i="1" a="1"/>
  <c r="F23" i="1" s="1"/>
  <c r="AO19" i="1" a="1"/>
  <c r="AO19" i="1" s="1"/>
  <c r="I19" i="1" a="1"/>
  <c r="I19" i="1" s="1"/>
  <c r="G23" i="1" l="1"/>
  <c r="G19" i="1" a="1"/>
  <c r="G19" i="1" s="1"/>
  <c r="E25" i="1" s="1" a="1"/>
  <c r="E25" i="1" s="1"/>
  <c r="E24" i="1" a="1"/>
  <c r="E24" i="1" s="1"/>
  <c r="U19" i="1" a="1"/>
  <c r="U19" i="1" s="1"/>
  <c r="F27" i="1" s="1" a="1"/>
  <c r="F27" i="1" s="1"/>
  <c r="G27" i="1" s="1"/>
  <c r="K19" i="1"/>
  <c r="AV19" i="1" a="1"/>
  <c r="AV19" i="1" s="1"/>
  <c r="S19" i="1" a="1"/>
  <c r="S19" i="1" s="1"/>
  <c r="V19" i="1" a="1"/>
  <c r="V19" i="1" s="1"/>
  <c r="AU19" i="1" a="1"/>
  <c r="AU19" i="1" s="1"/>
  <c r="F22" i="1" a="1"/>
  <c r="F22" i="1" s="1"/>
  <c r="G22" i="1" s="1"/>
  <c r="AN19" i="1" a="1"/>
  <c r="AN19" i="1" s="1"/>
  <c r="AM19" i="1" a="1"/>
  <c r="AM19" i="1" s="1"/>
  <c r="M19" i="1" l="1"/>
  <c r="L19" i="1"/>
  <c r="E29" i="1" a="1"/>
  <c r="E29" i="1" s="1"/>
  <c r="AX19" i="1" l="1"/>
  <c r="F25" i="1" a="1"/>
  <c r="F25" i="1" s="1"/>
  <c r="G25" i="1" s="1"/>
  <c r="AW19" i="1" a="1"/>
  <c r="AW19" i="1" s="1"/>
  <c r="F24" i="1" a="1"/>
  <c r="F24" i="1" s="1"/>
  <c r="G24" i="1" s="1"/>
  <c r="E28" i="1" a="1"/>
  <c r="E28" i="1" s="1"/>
  <c r="F29" i="1" l="1" a="1"/>
  <c r="F29" i="1" s="1"/>
  <c r="G29" i="1" s="1"/>
  <c r="F28" i="1" a="1"/>
  <c r="F28" i="1" s="1"/>
  <c r="G28" i="1" s="1"/>
  <c r="E30" i="1"/>
  <c r="F26" i="1" a="1"/>
  <c r="F26" i="1" s="1"/>
  <c r="G26" i="1" l="1"/>
  <c r="F30" i="1"/>
  <c r="G30" i="1" s="1"/>
  <c r="AZ19" i="1" l="1"/>
  <c r="AS19" i="1"/>
  <c r="BA19" i="1"/>
  <c r="AT19" i="1"/>
  <c r="BB19" i="1"/>
  <c r="F34" i="1" s="1" a="1"/>
  <c r="F34" i="1" s="1"/>
  <c r="AR19" i="1"/>
  <c r="AY19" i="1"/>
  <c r="AQ19" i="1"/>
  <c r="AE19" i="1" l="1" a="1"/>
  <c r="AE19" i="1" s="1"/>
  <c r="Y19" i="1" a="1"/>
  <c r="Y19" i="1" s="1"/>
  <c r="E32" i="1" a="1"/>
  <c r="E32" i="1" s="1"/>
  <c r="AG19" i="1" a="1"/>
  <c r="AG19" i="1" s="1"/>
  <c r="Z19" i="1" a="1"/>
  <c r="Z19" i="1" s="1"/>
  <c r="E34" i="1" a="1"/>
  <c r="E34" i="1" s="1"/>
  <c r="G34" i="1" s="1"/>
  <c r="E33" i="1" a="1"/>
  <c r="E33" i="1" s="1"/>
  <c r="AF19" i="1" a="1"/>
  <c r="AF19" i="1" s="1"/>
  <c r="F33" i="1" a="1"/>
  <c r="F33" i="1" s="1"/>
  <c r="AJ19" i="1" a="1"/>
  <c r="AJ19" i="1" s="1"/>
  <c r="AK19" i="1" a="1"/>
  <c r="AK19" i="1" s="1"/>
  <c r="E31" i="1" a="1"/>
  <c r="E31" i="1" s="1"/>
  <c r="AD19" i="1" a="1"/>
  <c r="AD19" i="1" s="1"/>
  <c r="F31" i="1" a="1"/>
  <c r="F31" i="1" s="1"/>
  <c r="AH19" i="1" a="1"/>
  <c r="AH19" i="1" s="1"/>
  <c r="AB19" i="1" a="1"/>
  <c r="AB19" i="1" s="1"/>
  <c r="AA19" i="1" a="1"/>
  <c r="AA19" i="1" s="1"/>
  <c r="AI19" i="1" a="1"/>
  <c r="AI19" i="1" s="1"/>
  <c r="F32" i="1" a="1"/>
  <c r="F32" i="1" s="1"/>
  <c r="G32" i="1" s="1"/>
  <c r="G31" i="1" l="1"/>
  <c r="E36" i="1" a="1"/>
  <c r="E36" i="1" s="1"/>
  <c r="AC19" i="1"/>
  <c r="G33" i="1"/>
  <c r="E35" i="1" a="1"/>
  <c r="E35" i="1" s="1"/>
  <c r="F38" i="1" a="1"/>
  <c r="F38" i="1" s="1"/>
  <c r="E37" i="1" a="1"/>
  <c r="E37" i="1" s="1"/>
  <c r="F35" i="1" a="1"/>
  <c r="F35" i="1" s="1"/>
  <c r="F37" i="1" a="1"/>
  <c r="F37" i="1" s="1"/>
  <c r="F36" i="1" a="1"/>
  <c r="F36" i="1" s="1"/>
  <c r="G36" i="1" s="1"/>
  <c r="E38" i="1" a="1"/>
  <c r="E38" i="1" s="1"/>
  <c r="G37" i="1" l="1"/>
  <c r="G38" i="1"/>
  <c r="G35" i="1"/>
  <c r="F39" i="1"/>
  <c r="E39" i="1"/>
  <c r="G39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<sst xmlns="http://schemas.openxmlformats.org/spreadsheetml/2006/main" count="122" uniqueCount="110">
  <si>
    <t>s_ob</t>
  </si>
  <si>
    <t>year</t>
  </si>
  <si>
    <t>t</t>
  </si>
  <si>
    <t>s_mb</t>
  </si>
  <si>
    <t>s_m_ob</t>
  </si>
  <si>
    <t>VAT_reg</t>
  </si>
  <si>
    <t>VAT_red</t>
  </si>
  <si>
    <t>VAT_zer</t>
  </si>
  <si>
    <t>p_m</t>
  </si>
  <si>
    <t>cp_m_om_c</t>
  </si>
  <si>
    <t>(s_v_o/s_v)_a</t>
  </si>
  <si>
    <t>p_o</t>
  </si>
  <si>
    <t>s_va</t>
  </si>
  <si>
    <t>s_v_oa</t>
  </si>
  <si>
    <t>s_v_ca</t>
  </si>
  <si>
    <t>i_v_cb</t>
  </si>
  <si>
    <t>s_db</t>
  </si>
  <si>
    <t>s_wb</t>
  </si>
  <si>
    <t>i_m_cb</t>
  </si>
  <si>
    <t>i_m_ob</t>
  </si>
  <si>
    <t>i_v_ca</t>
  </si>
  <si>
    <t>i_v_oa</t>
  </si>
  <si>
    <t>i_m_ca</t>
  </si>
  <si>
    <t>i_m_oa</t>
  </si>
  <si>
    <t>e_v_c</t>
  </si>
  <si>
    <t>e_d_c</t>
  </si>
  <si>
    <t>e_w_c</t>
  </si>
  <si>
    <t>e_d_o</t>
  </si>
  <si>
    <t>e_w_o</t>
  </si>
  <si>
    <t>e_v_o</t>
  </si>
  <si>
    <t>e_mb</t>
  </si>
  <si>
    <t>e_vb</t>
  </si>
  <si>
    <t>e_m_c</t>
  </si>
  <si>
    <t>e_m_o</t>
  </si>
  <si>
    <t>e_ma</t>
  </si>
  <si>
    <t>e_va</t>
  </si>
  <si>
    <t>i_v_ob</t>
  </si>
  <si>
    <t>Source:</t>
  </si>
  <si>
    <t>sVat_reg</t>
  </si>
  <si>
    <t>sVat_red</t>
  </si>
  <si>
    <t>s_m_ca</t>
  </si>
  <si>
    <t>s_m_oa</t>
  </si>
  <si>
    <t>(s_m_o/s_m)_b</t>
  </si>
  <si>
    <t>(s_v_o/s_v)_b</t>
  </si>
  <si>
    <t>s_v_ob</t>
  </si>
  <si>
    <t>s_m_cb</t>
  </si>
  <si>
    <t>s_v_cb</t>
  </si>
  <si>
    <t>Category</t>
  </si>
  <si>
    <t>Totoal VAT income</t>
  </si>
  <si>
    <t>Total external costs</t>
  </si>
  <si>
    <t>e_m_ob</t>
  </si>
  <si>
    <t>e_m_cb</t>
  </si>
  <si>
    <t>e_v_ob</t>
  </si>
  <si>
    <t>e_v_cb</t>
  </si>
  <si>
    <t>e_m_oa</t>
  </si>
  <si>
    <t>e_m_ca</t>
  </si>
  <si>
    <t>e_v_oa</t>
  </si>
  <si>
    <t>e_v_ca</t>
  </si>
  <si>
    <t>sc´_v_oa</t>
  </si>
  <si>
    <t>sc´_v_ca</t>
  </si>
  <si>
    <t>sc´_m_oa</t>
  </si>
  <si>
    <t>sc´_m_ca</t>
  </si>
  <si>
    <t>sc_v_oa</t>
  </si>
  <si>
    <t>sc_v_ca</t>
  </si>
  <si>
    <t>sc_m_oa</t>
  </si>
  <si>
    <t>sc_m_ca</t>
  </si>
  <si>
    <t>sc_m_ob</t>
  </si>
  <si>
    <t>sc_m_cb</t>
  </si>
  <si>
    <t>sc_v_ob</t>
  </si>
  <si>
    <t>sc_v_cb</t>
  </si>
  <si>
    <t>VAT_v</t>
  </si>
  <si>
    <t>sc´_v_ob</t>
  </si>
  <si>
    <t>sc´_v_cb</t>
  </si>
  <si>
    <t>sc´_m_ob</t>
  </si>
  <si>
    <t>sc´_m_cb</t>
  </si>
  <si>
    <t>net consumption share organic meat</t>
  </si>
  <si>
    <t>net consumption share conventional meat</t>
  </si>
  <si>
    <t>net consumption share organic vegetarian food</t>
  </si>
  <si>
    <t>net consumption share conventional vegetarian food</t>
  </si>
  <si>
    <t>Sales share of conventional meat</t>
  </si>
  <si>
    <t>Sales share of organic meat</t>
  </si>
  <si>
    <t>sales share of conventional vegetarian food</t>
  </si>
  <si>
    <t>Sales share of organic vegetarian food</t>
  </si>
  <si>
    <t>e_avoided</t>
  </si>
  <si>
    <t>s_wVat_red/s_wb</t>
  </si>
  <si>
    <t>s_wVat_reg/s_wb</t>
  </si>
  <si>
    <t>s_vVat_red/s_vb</t>
  </si>
  <si>
    <t>s_o</t>
  </si>
  <si>
    <t xml:space="preserve"> </t>
  </si>
  <si>
    <t>Input data:</t>
  </si>
  <si>
    <t>Calculated data:</t>
  </si>
  <si>
    <t>VAT income from organic vegetarian food</t>
  </si>
  <si>
    <t>VAT income from conventional meat</t>
  </si>
  <si>
    <t>VAT income from conventional vegetarian food</t>
  </si>
  <si>
    <t>VAT income from organic meat</t>
  </si>
  <si>
    <t>External costs from organic meat</t>
  </si>
  <si>
    <t>External costs from conventional meat</t>
  </si>
  <si>
    <t>External costs from organic vegetarian food</t>
  </si>
  <si>
    <t>External costs from conventional vegetarian food</t>
  </si>
  <si>
    <t>Federal Statistical Office (2021)</t>
  </si>
  <si>
    <t>Schröck (2013)</t>
  </si>
  <si>
    <t>Bunte et al. (2007)</t>
  </si>
  <si>
    <t>Pieper et al. (2020)</t>
  </si>
  <si>
    <t>BÖLW (2022a)</t>
  </si>
  <si>
    <t>Federal Statistical Office (2022)</t>
  </si>
  <si>
    <t>BÖLW (2022b), (BLE 2021)</t>
  </si>
  <si>
    <t>Results:</t>
  </si>
  <si>
    <t>Relative difference</t>
  </si>
  <si>
    <t>7% / 19% VAT on all foodstuff (current tax rates in Germany)</t>
  </si>
  <si>
    <t>0% VAT on organic vegetarian food / 19% VAT on conventional meat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</si>
</sst>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[$€-407]_-;\-* #,##0.00\ [$€-407]_-;_-* &quot;-&quot;??\ [$€-407]_-;_-@_-"/>
    <numFmt numFmtId="165" formatCode="#,##0,,,&quot;B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444444"/>
      <name val="Open Sans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wrapText="1"/>
    </xf>
    <xf numFmtId="10" fontId="0" fillId="0" borderId="0" xfId="0" applyNumberFormat="1"/>
    <xf numFmtId="0" fontId="2" fillId="0" borderId="0" xfId="3"/>
    <xf numFmtId="9" fontId="0" fillId="0" borderId="0" xfId="0" applyNumberFormat="1"/>
    <xf numFmtId="9" fontId="0" fillId="0" borderId="0" xfId="2" applyFont="1"/>
    <xf numFmtId="43" fontId="0" fillId="0" borderId="0" xfId="1" applyFont="1"/>
    <xf numFmtId="10" fontId="0" fillId="0" borderId="0" xfId="1" applyNumberFormat="1" applyFont="1"/>
    <xf numFmtId="10" fontId="0" fillId="0" borderId="0" xfId="2" applyNumberFormat="1" applyFont="1"/>
    <xf numFmtId="164" fontId="0" fillId="0" borderId="0" xfId="0" applyNumberFormat="1"/>
    <xf numFmtId="164" fontId="0" fillId="0" borderId="0" xfId="1" applyNumberFormat="1" applyFont="1"/>
    <xf numFmtId="10" fontId="0" fillId="0" borderId="0" xfId="0" applyNumberFormat="1" applyAlignment="1">
      <alignment wrapText="1"/>
    </xf>
    <xf numFmtId="0" fontId="4" fillId="0" borderId="0" xfId="0" applyFont="1"/>
    <xf numFmtId="10" fontId="0" fillId="0" borderId="0" xfId="2" applyNumberFormat="1" applyFont="1" applyBorder="1"/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10" fontId="0" fillId="0" borderId="0" xfId="2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0" fontId="0" fillId="2" borderId="12" xfId="2" applyNumberFormat="1" applyFont="1" applyFill="1" applyBorder="1" applyAlignment="1">
      <alignment horizontal="right" vertical="center"/>
    </xf>
    <xf numFmtId="10" fontId="0" fillId="2" borderId="5" xfId="2" applyNumberFormat="1" applyFont="1" applyFill="1" applyBorder="1" applyAlignment="1">
      <alignment horizontal="right" vertical="center"/>
    </xf>
    <xf numFmtId="10" fontId="0" fillId="2" borderId="4" xfId="2" applyNumberFormat="1" applyFont="1" applyFill="1" applyBorder="1" applyAlignment="1">
      <alignment horizontal="right" vertical="center"/>
    </xf>
    <xf numFmtId="10" fontId="0" fillId="2" borderId="13" xfId="2" applyNumberFormat="1" applyFont="1" applyFill="1" applyBorder="1" applyAlignment="1">
      <alignment horizontal="right" vertical="center"/>
    </xf>
    <xf numFmtId="10" fontId="0" fillId="2" borderId="6" xfId="2" applyNumberFormat="1" applyFont="1" applyFill="1" applyBorder="1" applyAlignment="1">
      <alignment horizontal="right" vertical="center"/>
    </xf>
    <xf numFmtId="10" fontId="0" fillId="2" borderId="10" xfId="2" applyNumberFormat="1" applyFont="1" applyFill="1" applyBorder="1" applyAlignment="1">
      <alignment horizontal="right" vertical="center"/>
    </xf>
    <xf numFmtId="10" fontId="0" fillId="2" borderId="14" xfId="2" applyNumberFormat="1" applyFont="1" applyFill="1" applyBorder="1" applyAlignment="1">
      <alignment horizontal="right" vertical="center"/>
    </xf>
    <xf numFmtId="10" fontId="0" fillId="2" borderId="7" xfId="2" applyNumberFormat="1" applyFont="1" applyFill="1" applyBorder="1" applyAlignment="1">
      <alignment horizontal="right" vertical="center"/>
    </xf>
    <xf numFmtId="10" fontId="0" fillId="2" borderId="11" xfId="2" applyNumberFormat="1" applyFont="1" applyFill="1" applyBorder="1" applyAlignment="1">
      <alignment horizontal="right" vertical="center"/>
    </xf>
    <xf numFmtId="164" fontId="0" fillId="0" borderId="12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10" fontId="0" fillId="0" borderId="4" xfId="2" applyNumberFormat="1" applyFont="1" applyBorder="1" applyAlignment="1">
      <alignment horizontal="right" vertical="center"/>
    </xf>
    <xf numFmtId="164" fontId="0" fillId="0" borderId="13" xfId="0" applyNumberFormat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10" fontId="0" fillId="0" borderId="10" xfId="2" applyNumberFormat="1" applyFont="1" applyBorder="1" applyAlignment="1">
      <alignment horizontal="right" vertical="center"/>
    </xf>
    <xf numFmtId="164" fontId="0" fillId="0" borderId="14" xfId="0" applyNumberFormat="1" applyBorder="1" applyAlignment="1">
      <alignment horizontal="right" vertical="center"/>
    </xf>
    <xf numFmtId="164" fontId="0" fillId="0" borderId="7" xfId="0" applyNumberFormat="1" applyBorder="1" applyAlignment="1">
      <alignment horizontal="right" vertical="center"/>
    </xf>
    <xf numFmtId="10" fontId="0" fillId="0" borderId="11" xfId="2" applyNumberFormat="1" applyFont="1" applyBorder="1" applyAlignment="1">
      <alignment horizontal="right" vertical="center"/>
    </xf>
    <xf numFmtId="10" fontId="0" fillId="2" borderId="15" xfId="2" applyNumberFormat="1" applyFont="1" applyFill="1" applyBorder="1" applyAlignment="1">
      <alignment horizontal="right" vertical="center"/>
    </xf>
    <xf numFmtId="164" fontId="0" fillId="0" borderId="16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164" fontId="0" fillId="0" borderId="9" xfId="0" applyNumberFormat="1" applyBorder="1" applyAlignment="1">
      <alignment horizontal="right" vertical="center"/>
    </xf>
    <xf numFmtId="164" fontId="0" fillId="0" borderId="3" xfId="0" applyNumberFormat="1" applyBorder="1" applyAlignment="1">
      <alignment horizontal="righ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0" fontId="0" fillId="2" borderId="29" xfId="0" applyFill="1" applyBorder="1" applyAlignment="1">
      <alignment horizontal="left" vertical="center"/>
    </xf>
    <xf numFmtId="0" fontId="0" fillId="2" borderId="30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0" fillId="2" borderId="26" xfId="0" applyFill="1" applyBorder="1" applyAlignment="1">
      <alignment horizontal="left" vertical="center"/>
    </xf>
    <xf numFmtId="0" fontId="0" fillId="2" borderId="27" xfId="0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</cellXfs>
  <cellStyles count="4">
    <cellStyle name="Komma" xfId="1" builtinId="3"/>
    <cellStyle name="Link" xfId="3" builtinId="8"/>
    <cellStyle name="Prozent" xfId="2" builtinId="5"/>
    <cellStyle name="Standard" xfId="0" builtinId="0"/>
  </cellStyles>
  <dxfs count="68"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64" formatCode="_-* #,##0.00\ [$€-407]_-;\-* #,##0.00\ [$€-407]_-;_-* &quot;-&quot;??\ [$€-407]_-;_-@_-"/>
    </dxf>
    <dxf>
      <numFmt numFmtId="164" formatCode="_-* #,##0.00\ [$€-407]_-;\-* #,##0.00\ [$€-407]_-;_-* &quot;-&quot;??\ [$€-407]_-;_-@_-"/>
    </dxf>
    <dxf>
      <numFmt numFmtId="164" formatCode="_-* #,##0.00\ [$€-407]_-;\-* #,##0.00\ [$€-407]_-;_-* &quot;-&quot;??\ [$€-407]_-;_-@_-"/>
    </dxf>
    <dxf>
      <numFmt numFmtId="164" formatCode="_-* #,##0.00\ [$€-407]_-;\-* #,##0.00\ [$€-407]_-;_-* &quot;-&quot;??\ [$€-407]_-;_-@_-"/>
    </dxf>
    <dxf>
      <numFmt numFmtId="164" formatCode="_-* #,##0.00\ [$€-407]_-;\-* #,##0.00\ [$€-407]_-;_-* &quot;-&quot;??\ [$€-407]_-;_-@_-"/>
    </dxf>
    <dxf>
      <numFmt numFmtId="164" formatCode="_-* #,##0.00\ [$€-407]_-;\-* #,##0.00\ [$€-407]_-;_-* &quot;-&quot;??\ [$€-407]_-;_-@_-"/>
    </dxf>
    <dxf>
      <numFmt numFmtId="164" formatCode="_-* #,##0.00\ [$€-407]_-;\-* #,##0.00\ [$€-407]_-;_-* &quot;-&quot;??\ [$€-407]_-;_-@_-"/>
    </dxf>
    <dxf>
      <numFmt numFmtId="164" formatCode="_-* #,##0.00\ [$€-407]_-;\-* #,##0.00\ [$€-407]_-;_-* &quot;-&quot;??\ [$€-407]_-;_-@_-"/>
    </dxf>
    <dxf>
      <numFmt numFmtId="164" formatCode="_-* #,##0.00\ [$€-407]_-;\-* #,##0.00\ [$€-407]_-;_-* &quot;-&quot;??\ [$€-407]_-;_-@_-"/>
    </dxf>
    <dxf>
      <numFmt numFmtId="164" formatCode="_-* #,##0.00\ [$€-407]_-;\-* #,##0.00\ [$€-407]_-;_-* &quot;-&quot;??\ [$€-407]_-;_-@_-"/>
    </dxf>
    <dxf>
      <numFmt numFmtId="164" formatCode="_-* #,##0.00\ [$€-407]_-;\-* #,##0.00\ [$€-407]_-;_-* &quot;-&quot;??\ [$€-407]_-;_-@_-"/>
    </dxf>
    <dxf>
      <numFmt numFmtId="164" formatCode="_-* #,##0.00\ [$€-407]_-;\-* #,##0.00\ [$€-407]_-;_-* &quot;-&quot;??\ [$€-407]_-;_-@_-"/>
    </dxf>
    <dxf>
      <numFmt numFmtId="164" formatCode="_-* #,##0.00\ [$€-407]_-;\-* #,##0.00\ [$€-407]_-;_-* &quot;-&quot;??\ [$€-407]_-;_-@_-"/>
    </dxf>
    <dxf>
      <numFmt numFmtId="164" formatCode="_-* #,##0.00\ [$€-407]_-;\-* #,##0.00\ [$€-407]_-;_-* &quot;-&quot;??\ [$€-407]_-;_-@_-"/>
    </dxf>
    <dxf>
      <numFmt numFmtId="164" formatCode="_-* #,##0.00\ [$€-407]_-;\-* #,##0.00\ [$€-407]_-;_-* &quot;-&quot;??\ [$€-407]_-;_-@_-"/>
    </dxf>
    <dxf>
      <numFmt numFmtId="164" formatCode="_-* #,##0.00\ [$€-407]_-;\-* #,##0.00\ [$€-407]_-;_-* &quot;-&quot;??\ [$€-407]_-;_-@_-"/>
    </dxf>
    <dxf>
      <numFmt numFmtId="164" formatCode="_-* #,##0.00\ [$€-407]_-;\-* #,##0.00\ [$€-407]_-;_-* &quot;-&quot;??\ [$€-407]_-;_-@_-"/>
    </dxf>
    <dxf>
      <numFmt numFmtId="164" formatCode="_-* #,##0.00\ [$€-407]_-;\-* #,##0.00\ [$€-407]_-;_-* &quot;-&quot;??\ [$€-407]_-;_-@_-"/>
    </dxf>
    <dxf>
      <numFmt numFmtId="164" formatCode="_-* #,##0.00\ [$€-407]_-;\-* #,##0.00\ [$€-407]_-;_-* &quot;-&quot;??\ [$€-407]_-;_-@_-"/>
    </dxf>
    <dxf>
      <numFmt numFmtId="164" formatCode="_-* #,##0.00\ [$€-407]_-;\-* #,##0.00\ [$€-407]_-;_-* &quot;-&quot;??\ [$€-407]_-;_-@_-"/>
    </dxf>
    <dxf>
      <numFmt numFmtId="164" formatCode="_-* #,##0.00\ [$€-407]_-;\-* #,##0.00\ [$€-407]_-;_-* &quot;-&quot;??\ [$€-407]_-;_-@_-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alignment horizontal="general" vertical="bottom" textRotation="0" wrapText="1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3" formatCode="0%"/>
    </dxf>
    <dxf>
      <numFmt numFmtId="13" formatCode="0%"/>
    </dxf>
    <dxf>
      <numFmt numFmtId="13" formatCode="0%"/>
    </dxf>
    <dxf>
      <numFmt numFmtId="14" formatCode="0.00%"/>
    </dxf>
    <dxf>
      <numFmt numFmtId="14" formatCode="0.00%"/>
    </dxf>
    <dxf>
      <numFmt numFmtId="164" formatCode="_-* #,##0.00\ [$€-407]_-;\-* #,##0.00\ [$€-407]_-;_-* &quot;-&quot;??\ [$€-407]_-;_-@_-"/>
    </dxf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CEEC7B-1BF9-465F-88E9-86FA20A6CF3B}" name="Inputdata" displayName="Inputdata" ref="B2:X3" totalsRowShown="0">
  <autoFilter ref="B2:X3" xr:uid="{66CEEC7B-1BF9-465F-88E9-86FA20A6CF3B}"/>
  <tableColumns count="23">
    <tableColumn id="1" xr3:uid="{BB3334BE-D4BC-49D8-85A9-483D45DB7BFE}" name="year"/>
    <tableColumn id="2" xr3:uid="{FD2945D1-0AA6-4C5C-9559-2585A553D904}" name="s_o" dataDxfId="67" dataCellStyle="Prozent"/>
    <tableColumn id="3" xr3:uid="{667F4B8A-EC77-4DE4-A76C-F53642436D2B}" name="t" dataDxfId="66" dataCellStyle="Komma"/>
    <tableColumn id="4" xr3:uid="{65121502-19C4-4D6D-B2BB-0AA3B8A4919E}" name="(s_m_o/s_m)_b" dataDxfId="65"/>
    <tableColumn id="5" xr3:uid="{EDD9DB5A-BCD0-475D-80FB-99ED8A7AC198}" name="s_mb" dataDxfId="64"/>
    <tableColumn id="6" xr3:uid="{F03E8E5C-545D-4523-B31A-47237E5D21D3}" name="VAT_reg" dataDxfId="63"/>
    <tableColumn id="7" xr3:uid="{FB2E18E6-1D09-4BFB-9067-9E6D53F57A05}" name="VAT_red" dataDxfId="62"/>
    <tableColumn id="8" xr3:uid="{FFCC7693-F561-4C79-B527-643AB8D1A376}" name="VAT_zer" dataDxfId="61"/>
    <tableColumn id="9" xr3:uid="{9916FE0C-7B52-488D-B058-9F4E048BDD8B}" name="p_m" dataDxfId="60" dataCellStyle="Komma"/>
    <tableColumn id="10" xr3:uid="{ED3A1B1E-F206-4098-BE03-5FA3560A50A2}" name="cp_m_om_c" dataDxfId="59" dataCellStyle="Komma"/>
    <tableColumn id="11" xr3:uid="{FC6A95DE-F859-4BB9-891A-D8ED57990849}" name="sVat_reg" dataDxfId="58" dataCellStyle="Prozent"/>
    <tableColumn id="12" xr3:uid="{ABA23506-9FCA-4921-B652-1FA009010ECE}" name="sVat_red" dataDxfId="57" dataCellStyle="Prozent"/>
    <tableColumn id="13" xr3:uid="{16D167C3-38A1-423B-B914-93787239EC32}" name="p_o" dataCellStyle="Komma"/>
    <tableColumn id="14" xr3:uid="{A05E97E9-2B36-498A-9400-EDCEB5696282}" name="s_db" dataDxfId="56" dataCellStyle="Komma"/>
    <tableColumn id="15" xr3:uid="{E8DC8309-55D6-4D1E-BD4F-5676751377D3}" name="s_wb" dataDxfId="55" dataCellStyle="Komma"/>
    <tableColumn id="16" xr3:uid="{E5EBC9FD-EB27-4592-9F6A-41A75EED226F}" name="s_wVat_red/s_wb" dataDxfId="54"/>
    <tableColumn id="17" xr3:uid="{D6599AE1-879D-42ED-951B-8C4602EE25A9}" name="s_wVat_reg/s_wb" dataDxfId="53"/>
    <tableColumn id="18" xr3:uid="{AFFD6773-0D20-4B7E-B3ED-F3546285D116}" name="e_d_c" dataDxfId="52"/>
    <tableColumn id="19" xr3:uid="{9BECE60F-E266-4287-AF7C-3CD101F6508F}" name="e_w_c" dataDxfId="51"/>
    <tableColumn id="20" xr3:uid="{B11035B8-011F-4A72-B8B0-50618AB904B9}" name="e_d_o" dataDxfId="50"/>
    <tableColumn id="21" xr3:uid="{BA320ED4-B808-45E7-8A5E-47862EF4AC3C}" name="e_w_o" dataDxfId="49"/>
    <tableColumn id="22" xr3:uid="{CFEED630-32AF-4807-B27D-918E24AE33EF}" name="e_m_c" dataDxfId="48"/>
    <tableColumn id="23" xr3:uid="{EB90E481-A2D6-4A71-846A-AF5163128115}" name="e_m_o" dataDxfId="47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BFA95EE-3B0C-4D34-8407-3190D1E156C5}" name="Calculations" displayName="Calculations" ref="B18:BB19" totalsRowShown="0" headerRowDxfId="46">
  <autoFilter ref="B18:BB19" xr:uid="{9BFA95EE-3B0C-4D34-8407-3190D1E156C5}"/>
  <tableColumns count="53">
    <tableColumn id="1" xr3:uid="{EF44D811-C1BF-4ADE-B7F0-60C39BD5B2E0}" name="s_ob" dataDxfId="45">
      <calculatedColumnFormula>_xlfn.FORECAST.ETS(2023,C3:C14,B3:B14,1,1)</calculatedColumnFormula>
    </tableColumn>
    <tableColumn id="2" xr3:uid="{3B338756-A590-4A1E-A464-E273FD0619E4}" name="(s_v_o/s_v)_b" dataDxfId="44">
      <calculatedColumnFormula>(B19*D3-E3*F3*D3)/((1-F3)*D3)</calculatedColumnFormula>
    </tableColumn>
    <tableColumn id="3" xr3:uid="{9F029574-1853-42B3-A6A5-43A3FF35FB09}" name="s_m_ob" dataDxfId="43">
      <calculatedColumnFormula array="1">Inputdata[(s_m_o/s_m)_b]*Inputdata[s_mb]</calculatedColumnFormula>
    </tableColumn>
    <tableColumn id="52" xr3:uid="{06297A77-0F39-46BE-B6B8-A241388DEE95}" name="s_v_ob" dataDxfId="42">
      <calculatedColumnFormula>Calculations[[#This Row],[s_ob]]-Calculations[[#This Row],[s_m_ob]]</calculatedColumnFormula>
    </tableColumn>
    <tableColumn id="53" xr3:uid="{9C7A1E0E-3F61-41DD-8784-99F1DCF0108D}" name="s_m_cb" dataDxfId="41">
      <calculatedColumnFormula array="1">Inputdata[s_mb]-Calculations[[#This Row],[s_m_ob]]</calculatedColumnFormula>
    </tableColumn>
    <tableColumn id="54" xr3:uid="{ED57311B-884B-4523-905E-3840405FFEAC}" name="s_v_cb" dataDxfId="40">
      <calculatedColumnFormula array="1">1-Inputdata[s_mb]-Calculations[[#This Row],[s_v_ob]]</calculatedColumnFormula>
    </tableColumn>
    <tableColumn id="4" xr3:uid="{CCEB6E7D-7322-4EC7-AFF8-6357EA92007F}" name="s_m_ca">
      <calculatedColumnFormula array="1">(Inputdata[s_mb]-Calculations[[#This Row],[s_m_ob]])-((((1+Inputdata[VAT_reg])/(1+Inputdata[VAT_red]))-1)*(Inputdata[s_mb]-Calculations[[#This Row],[s_m_ob]])*Inputdata[p_m])</calculatedColumnFormula>
    </tableColumn>
    <tableColumn id="5" xr3:uid="{ACAE6724-904A-44F1-B192-BBF1D67AE018}" name="s_m_oa" dataDxfId="39" dataCellStyle="Prozent">
      <calculatedColumnFormula array="1">Calculations[[#This Row],[s_m_ob]]*(1+((1+Inputdata[VAT_reg])/(1+Inputdata[VAT_red])-1)*Inputdata[cp_m_om_c])</calculatedColumnFormula>
    </tableColumn>
    <tableColumn id="6" xr3:uid="{A1EBC263-D283-49B9-99A2-C4A86DE403BF}" name="(s_v_o/s_v)_a" dataDxfId="38" dataCellStyle="Prozent">
      <calculatedColumnFormula array="1">Calculations[[#This Row],[(s_v_o/s_v)_b]]+((((Inputdata[sVat_reg]/(1-Inputdata[s_mb]))*(1-((1+Inputdata[VAT_zer])/(1+Inputdata[VAT_reg]))))+(((Inputdata[sVat_red]-Inputdata[s_mb])/(1-Inputdata[s_mb]))*((1-((1+Inputdata[VAT_zer])/(1+Inputdata[VAT_red]))))))*Inputdata[p_o]*Calculations[[#This Row],[(s_v_o/s_v)_b]])</calculatedColumnFormula>
    </tableColumn>
    <tableColumn id="7" xr3:uid="{B5D06B62-E534-467C-B6A2-2FE31F23210F}" name="s_va">
      <calculatedColumnFormula>1-Calculations[[#This Row],[s_m_ca]]-Calculations[[#This Row],[s_m_oa]]</calculatedColumnFormula>
    </tableColumn>
    <tableColumn id="8" xr3:uid="{1E75758A-40DB-45FA-8679-743E1F588DA0}" name="s_v_oa">
      <calculatedColumnFormula>Calculations[[#This Row],[(s_v_o/s_v)_a]]*Calculations[[#This Row],[s_va]]</calculatedColumnFormula>
    </tableColumn>
    <tableColumn id="9" xr3:uid="{9A073C69-FCC5-419B-AE2F-300378528357}" name="s_v_ca">
      <calculatedColumnFormula>(1-Calculations[[#This Row],[(s_v_o/s_v)_a]])*Calculations[[#This Row],[s_va]]</calculatedColumnFormula>
    </tableColumn>
    <tableColumn id="10" xr3:uid="{94D11828-E9D8-4C07-A7C2-41E5B8A451AC}" name="i_v_cb" dataDxfId="37">
      <calculatedColumnFormula array="1">(Inputdata[s_db]*(Inputdata[VAT_red]/(1+Inputdata[VAT_red]))*Inputdata[t]+Inputdata[s_wb]*(Inputdata[VAT_red]/(1+Inputdata[VAT_red]))*Inputdata[t]*Inputdata[s_wVat_red/s_wb]+Inputdata[s_wb]*(Inputdata[VAT_reg]/(1+Inputdata[VAT_reg]))*Inputdata[t]*Inputdata[s_wVat_reg/s_wb])*(1-Calculations[[#This Row],[(s_v_o/s_v)_b]])</calculatedColumnFormula>
    </tableColumn>
    <tableColumn id="11" xr3:uid="{6345B09A-CE50-40B3-AD00-1EE2E1B23406}" name="i_v_ob" dataDxfId="36">
      <calculatedColumnFormula array="1">(Inputdata[s_db]*(Inputdata[VAT_red]/(1+Inputdata[VAT_red]))*Inputdata[t]+Inputdata[s_wb]*(Inputdata[VAT_red]/(1+Inputdata[VAT_red]))*Inputdata[t]*Inputdata[s_wVat_red/s_wb]+Inputdata[s_wb]*(Inputdata[VAT_reg]/(1+Inputdata[VAT_reg]))*Inputdata[t]*Inputdata[s_wVat_reg/s_wb])*Calculations[[#This Row],[(s_v_o/s_v)_b]]</calculatedColumnFormula>
    </tableColumn>
    <tableColumn id="12" xr3:uid="{7A738D2A-924B-40D3-8D28-9CADD9CD62CA}" name="s_vVat_red/s_vb">
      <calculatedColumnFormula array="1">(Inputdata[s_wVat_red/s_wb]*Inputdata[s_wb])/(Inputdata[s_wb]+Inputdata[s_db])+Inputdata[s_db]/(Inputdata[s_wb]+Inputdata[s_db])</calculatedColumnFormula>
    </tableColumn>
    <tableColumn id="13" xr3:uid="{79B8AF3C-AA3D-4E65-95CA-24AA9A1E4F2D}" name="i_m_cb" dataDxfId="35">
      <calculatedColumnFormula array="1">Inputdata[s_mb]*(Inputdata[VAT_red]/(1+Inputdata[VAT_red]))*Inputdata[t]*(1-Inputdata[(s_m_o/s_m)_b])</calculatedColumnFormula>
    </tableColumn>
    <tableColumn id="14" xr3:uid="{DF3DB48D-9762-4A4E-BB50-07CCBA466B69}" name="i_m_ob" dataDxfId="34">
      <calculatedColumnFormula array="1">Inputdata[s_mb]*(Inputdata[VAT_red]/(1+Inputdata[VAT_red]))*Inputdata[t]*Inputdata[(s_m_o/s_m)_b]</calculatedColumnFormula>
    </tableColumn>
    <tableColumn id="15" xr3:uid="{50B431F4-9724-4352-AE24-2C57161DDEE9}" name="i_v_ca" dataDxfId="33">
      <calculatedColumnFormula array="1">((1-Calculations[[#This Row],[s_m_ca]]-Calculations[[#This Row],[s_m_oa]])*(Inputdata[VAT_red]/(1+Inputdata[VAT_red]))*Calculations[[#This Row],[s_vVat_red/s_vb]]*Inputdata[t]+(1-Calculations[[#This Row],[s_m_ca]]-Calculations[[#This Row],[s_m_oa]])*(Inputdata[VAT_reg]/(1+Inputdata[VAT_reg]))*(1-Calculations[[#This Row],[s_vVat_red/s_vb]])*Inputdata[t])*(1-Calculations[[#This Row],[(s_v_o/s_v)_a]])</calculatedColumnFormula>
    </tableColumn>
    <tableColumn id="16" xr3:uid="{86799AA0-26AA-4B23-987A-EF78AFE44DA7}" name="i_v_oa" dataDxfId="32">
      <calculatedColumnFormula array="1">((1-Calculations[[#This Row],[s_m_ca]]-Calculations[[#This Row],[s_m_oa]])*(Inputdata[VAT_zer]*Inputdata[VAT_zer]/(1+Inputdata[VAT_zer]))*Calculations[[#This Row],[s_vVat_red/s_vb]]*Inputdata[t]+(1-Calculations[[#This Row],[s_m_ca]]-Calculations[[#This Row],[s_m_oa]])*(Inputdata[VAT_zer]*Inputdata[VAT_zer]/(1+Inputdata[VAT_zer]))*(1-Calculations[[#This Row],[s_vVat_red/s_vb]])*Inputdata[t])*Calculations[[#This Row],[(s_v_o/s_v)_a]]</calculatedColumnFormula>
    </tableColumn>
    <tableColumn id="17" xr3:uid="{F0EFE233-F3E9-4E37-9B78-31C69E76DB38}" name="i_m_ca" dataDxfId="31">
      <calculatedColumnFormula array="1">Calculations[[#This Row],[s_m_ca]]*(Inputdata[VAT_reg]/(1+Inputdata[VAT_reg]))*Inputdata[t]</calculatedColumnFormula>
    </tableColumn>
    <tableColumn id="18" xr3:uid="{3DE45879-ED6B-42AF-9B58-F268AE2BABAB}" name="i_m_oa" dataDxfId="30">
      <calculatedColumnFormula array="1">Calculations[[#This Row],[s_m_oa]]*(Inputdata[VAT_red]/(1+Inputdata[VAT_red]))*Inputdata[t]</calculatedColumnFormula>
    </tableColumn>
    <tableColumn id="19" xr3:uid="{A4757980-CD4E-4BC6-80B5-DA3EEDD01394}" name="e_v_c">
      <calculatedColumnFormula array="1">(Inputdata[s_db]/(Inputdata[s_db]+Inputdata[s_wb]))*Inputdata[e_d_c]+(1-Inputdata[s_db]/(Inputdata[s_db]+Inputdata[s_wb]))*Inputdata[e_w_c]</calculatedColumnFormula>
    </tableColumn>
    <tableColumn id="20" xr3:uid="{5DCD8392-7D32-41B8-BC66-6E505CC15378}" name="e_v_o">
      <calculatedColumnFormula array="1">(Inputdata[s_db]/(Inputdata[s_db]+Inputdata[s_wb]))*Inputdata[e_d_o]+(1-Inputdata[s_db]/(Inputdata[s_db]+Inputdata[s_wb]))*Inputdata[e_w_o]</calculatedColumnFormula>
    </tableColumn>
    <tableColumn id="21" xr3:uid="{478EE3CE-7E27-45E5-8D1F-8CD9C509A1F0}" name="e_mb" dataDxfId="29">
      <calculatedColumnFormula array="1">Calculations[[#This Row],[sc_m_cb]]*Inputdata[t]*Inputdata[e_m_c]+Calculations[[#This Row],[sc_m_ob]]*Inputdata[t]*Inputdata[e_m_o]</calculatedColumnFormula>
    </tableColumn>
    <tableColumn id="22" xr3:uid="{A721ADDE-D8FB-43C3-ACB8-63F5310140EE}" name="e_vb" dataDxfId="28">
      <calculatedColumnFormula array="1">Calculations[[#This Row],[sc_v_cb]]*Inputdata[t]*Calculations[[#This Row],[e_v_c]]+Calculations[[#This Row],[sc_v_ob]]*Inputdata[t]*Calculations[[#This Row],[e_v_o]]</calculatedColumnFormula>
    </tableColumn>
    <tableColumn id="23" xr3:uid="{33CC497E-710B-400D-9D17-36E6CC8E1284}" name="e_ma" dataDxfId="27">
      <calculatedColumnFormula array="1">Calculations[[#This Row],[sc_m_ca]]*Inputdata[t]*Inputdata[e_m_c]+Calculations[[#This Row],[sc_m_oa]]*Inputdata[t]*Inputdata[e_m_o]</calculatedColumnFormula>
    </tableColumn>
    <tableColumn id="24" xr3:uid="{EE2787CD-6456-47E1-A245-983E863D0599}" name="e_va" dataDxfId="26">
      <calculatedColumnFormula array="1">Calculations[[#This Row],[sc_v_ca]]*Inputdata[t]*Calculations[[#This Row],[e_v_c]]+Calculations[[#This Row],[sc_v_oa]]*Inputdata[t]*Calculations[[#This Row],[e_v_o]]</calculatedColumnFormula>
    </tableColumn>
    <tableColumn id="25" xr3:uid="{F8B2A919-250F-4FB8-88B3-5CC77C9833F7}" name="e_avoided" dataDxfId="25">
      <calculatedColumnFormula>(Calculations[[#This Row],[e_mb]]+Calculations[[#This Row],[e_vb]])-(Calculations[[#This Row],[e_ma]]+Calculations[[#This Row],[e_va]])</calculatedColumnFormula>
    </tableColumn>
    <tableColumn id="26" xr3:uid="{5D62E89C-A8CE-40E7-9576-A0A84FFA5059}" name="e_m_ob" dataDxfId="24">
      <calculatedColumnFormula array="1">Calculations[[#This Row],[sc_m_ob]]*Inputdata[t]*Inputdata[e_m_o]</calculatedColumnFormula>
    </tableColumn>
    <tableColumn id="27" xr3:uid="{09706B2E-CD5C-4CED-ABEE-81F968A826A2}" name="e_m_cb" dataDxfId="23">
      <calculatedColumnFormula array="1">Calculations[[#This Row],[sc_m_cb]]*Inputdata[t]*Inputdata[e_m_c]</calculatedColumnFormula>
    </tableColumn>
    <tableColumn id="28" xr3:uid="{8DC3A8F4-5E38-4CCF-B047-0C3B0469DAD4}" name="e_v_ob" dataDxfId="22">
      <calculatedColumnFormula array="1">Calculations[[#This Row],[sc_v_ob]]*Inputdata[t]*Calculations[[#This Row],[e_v_o]]</calculatedColumnFormula>
    </tableColumn>
    <tableColumn id="29" xr3:uid="{76108910-D5A2-479F-BE98-579525FE2BB6}" name="e_v_cb" dataDxfId="21">
      <calculatedColumnFormula array="1">Calculations[[#This Row],[sc_v_cb]]*Inputdata[t]*Calculations[[#This Row],[e_v_c]]</calculatedColumnFormula>
    </tableColumn>
    <tableColumn id="30" xr3:uid="{1F19BCFF-4E41-4E96-BC1A-F2F68D6D9A25}" name="e_m_oa" dataDxfId="20">
      <calculatedColumnFormula array="1">Calculations[[#This Row],[sc_m_oa]]*Inputdata[t]*Inputdata[e_m_o]</calculatedColumnFormula>
    </tableColumn>
    <tableColumn id="31" xr3:uid="{9AFE7CE4-FC9F-4017-8DAD-96A2E7D3A161}" name="e_m_ca" dataDxfId="19">
      <calculatedColumnFormula array="1">Calculations[[#This Row],[sc_m_ca]]*Inputdata[t]*Inputdata[e_m_c]</calculatedColumnFormula>
    </tableColumn>
    <tableColumn id="32" xr3:uid="{BCDA4864-A2BE-4111-86AF-10CDFD18C993}" name="e_v_oa" dataDxfId="18">
      <calculatedColumnFormula array="1">Calculations[[#This Row],[sc_v_oa]]*Inputdata[t]*Calculations[[#This Row],[e_v_o]]</calculatedColumnFormula>
    </tableColumn>
    <tableColumn id="33" xr3:uid="{FCE453C6-C2FC-4B22-B1EE-4AD4A1C6449F}" name="e_v_ca" dataDxfId="17">
      <calculatedColumnFormula array="1">Calculations[[#This Row],[sc_v_ca]]*Inputdata[t]*Calculations[[#This Row],[e_v_c]]</calculatedColumnFormula>
    </tableColumn>
    <tableColumn id="46" xr3:uid="{4BE5EC52-E746-49E7-9677-9A685DE98A76}" name="VAT_v" dataDxfId="16">
      <calculatedColumnFormula array="1">Calculations[[#This Row],[s_vVat_red/s_vb]]*Inputdata[VAT_red]+(1-Calculations[[#This Row],[s_vVat_red/s_vb]])*Inputdata[VAT_reg]</calculatedColumnFormula>
    </tableColumn>
    <tableColumn id="34" xr3:uid="{C6F389BF-38D5-44AC-BAB3-25335B2AFA94}" name="sc´_v_ob" dataDxfId="15" dataCellStyle="Prozent">
      <calculatedColumnFormula array="1">Calculations[[#This Row],[(s_v_o/s_v)_b]]*((1-Inputdata[s_mb])*(1-Calculations[[#This Row],[VAT_v]]))</calculatedColumnFormula>
    </tableColumn>
    <tableColumn id="35" xr3:uid="{FACBC83A-AFC2-4C46-9BDB-04E6A637466D}" name="sc´_v_cb" dataDxfId="14" dataCellStyle="Prozent">
      <calculatedColumnFormula array="1">(1-Calculations[[#This Row],[(s_v_o/s_v)_b]])*((1-Inputdata[s_mb])*(1-Calculations[[#This Row],[VAT_v]]))</calculatedColumnFormula>
    </tableColumn>
    <tableColumn id="36" xr3:uid="{7E64D253-9878-430E-82F7-C3B01F3353A7}" name="sc´_m_ob" dataDxfId="13" dataCellStyle="Prozent">
      <calculatedColumnFormula array="1">(Calculations[[#This Row],[s_m_ob]]*(1-Inputdata[VAT_red]))</calculatedColumnFormula>
    </tableColumn>
    <tableColumn id="37" xr3:uid="{368D7CEE-6EA7-469C-AF4E-E667091BAE5C}" name="sc´_m_cb" dataDxfId="12" dataCellStyle="Prozent">
      <calculatedColumnFormula array="1">(1-Calculations[[#This Row],[s_m_ob]]/Inputdata[s_mb])*(Inputdata[s_mb]*(1-Inputdata[VAT_red]))</calculatedColumnFormula>
    </tableColumn>
    <tableColumn id="38" xr3:uid="{22E5937A-61A1-4EE5-92F3-6ED3F3672FCB}" name="sc_v_ob" dataDxfId="11" dataCellStyle="Prozent">
      <calculatedColumnFormula>Calculations[[#This Row],[sc´_v_ob]]/(Calculations[[#This Row],[sc´_v_ob]]+Calculations[[#This Row],[sc´_v_cb]]+Calculations[[#This Row],[sc´_m_ob]]+Calculations[[#This Row],[sc´_m_cb]])</calculatedColumnFormula>
    </tableColumn>
    <tableColumn id="39" xr3:uid="{1E97348D-E7D2-4B8D-9A4E-2C60DDE05569}" name="sc_v_cb" dataDxfId="10" dataCellStyle="Prozent">
      <calculatedColumnFormula>Calculations[[#This Row],[sc´_v_cb]]/(Calculations[[#This Row],[sc´_v_ob]]+Calculations[[#This Row],[sc´_v_cb]]+Calculations[[#This Row],[sc´_m_ob]]+Calculations[[#This Row],[sc´_m_cb]])</calculatedColumnFormula>
    </tableColumn>
    <tableColumn id="40" xr3:uid="{E0DF6CB4-996D-4C8B-B01D-487ACDF57BDC}" name="sc_m_ob" dataDxfId="9" dataCellStyle="Prozent">
      <calculatedColumnFormula>Calculations[[#This Row],[sc´_m_ob]]/(Calculations[[#This Row],[sc´_v_ob]]+Calculations[[#This Row],[sc´_v_cb]]+Calculations[[#This Row],[sc´_m_ob]]+Calculations[[#This Row],[sc´_m_cb]])</calculatedColumnFormula>
    </tableColumn>
    <tableColumn id="41" xr3:uid="{920D807B-175A-4521-BF28-73C62646E0B7}" name="sc_m_cb" dataDxfId="8" dataCellStyle="Prozent">
      <calculatedColumnFormula>Calculations[[#This Row],[sc´_m_cb]]/(Calculations[[#This Row],[sc´_v_ob]]+Calculations[[#This Row],[sc´_v_cb]]+Calculations[[#This Row],[sc´_m_ob]]+Calculations[[#This Row],[sc´_m_cb]])</calculatedColumnFormula>
    </tableColumn>
    <tableColumn id="47" xr3:uid="{6699F5FB-F7D1-47C9-AF2F-748BEAF08E00}" name="sc´_m_oa" dataDxfId="7" dataCellStyle="Prozent">
      <calculatedColumnFormula array="1">(Calculations[[#This Row],[s_m_oa]]*(1-Inputdata[VAT_red]))</calculatedColumnFormula>
    </tableColumn>
    <tableColumn id="50" xr3:uid="{1EE618BC-7DF9-4469-9036-594E4F50F5B1}" name="sc´_m_ca" dataDxfId="6" dataCellStyle="Prozent">
      <calculatedColumnFormula array="1">Calculations[[#This Row],[s_m_ca]]*(1-Inputdata[VAT_reg])</calculatedColumnFormula>
    </tableColumn>
    <tableColumn id="49" xr3:uid="{AE9AE5C4-0BF5-44AF-9B4A-294A3B8466A2}" name="sc´_v_oa" dataDxfId="5" dataCellStyle="Prozent">
      <calculatedColumnFormula array="1">Calculations[[#This Row],[s_v_oa]]*(1-Inputdata[VAT_zer])</calculatedColumnFormula>
    </tableColumn>
    <tableColumn id="48" xr3:uid="{0BE8B094-2705-4BC4-81C0-740BA9591640}" name="sc´_v_ca" dataDxfId="4" dataCellStyle="Prozent">
      <calculatedColumnFormula>Calculations[[#This Row],[s_v_ca]]*(1-Calculations[[#This Row],[VAT_v]])</calculatedColumnFormula>
    </tableColumn>
    <tableColumn id="42" xr3:uid="{6E6372CB-E4AA-418A-B522-70FC4012E830}" name="sc_m_oa" dataDxfId="3" dataCellStyle="Prozent">
      <calculatedColumnFormula>Calculations[[#This Row],[sc´_m_oa]]/(Calculations[[#This Row],[sc´_m_oa]]+Calculations[[#This Row],[sc´_m_ca]]+Calculations[[#This Row],[sc´_v_oa]]+Calculations[[#This Row],[sc´_v_ca]])</calculatedColumnFormula>
    </tableColumn>
    <tableColumn id="43" xr3:uid="{B7C77DFC-1F08-49C8-90EF-8338D88C94AD}" name="sc_m_ca" dataDxfId="2" dataCellStyle="Prozent">
      <calculatedColumnFormula>Calculations[[#This Row],[sc´_m_ca]]/(Calculations[[#This Row],[sc´_m_oa]]+Calculations[[#This Row],[sc´_m_ca]]+Calculations[[#This Row],[sc´_v_oa]]+Calculations[[#This Row],[sc´_v_ca]])</calculatedColumnFormula>
    </tableColumn>
    <tableColumn id="44" xr3:uid="{59A35E6D-40A2-4500-BC63-744C864585E5}" name="sc_v_oa" dataDxfId="1" dataCellStyle="Prozent">
      <calculatedColumnFormula>Calculations[[#This Row],[sc´_v_oa]]/(Calculations[[#This Row],[sc´_m_oa]]+Calculations[[#This Row],[sc´_m_ca]]+Calculations[[#This Row],[sc´_v_oa]]+Calculations[[#This Row],[sc´_v_ca]])</calculatedColumnFormula>
    </tableColumn>
    <tableColumn id="45" xr3:uid="{EB7127B4-327F-40DE-AB71-60DCC3228CEF}" name="sc_v_ca" dataDxfId="0" dataCellStyle="Prozent">
      <calculatedColumnFormula>Calculations[[#This Row],[sc´_v_ca]]/(Calculations[[#This Row],[sc´_m_oa]]+Calculations[[#This Row],[sc´_m_ca]]+Calculations[[#This Row],[sc´_v_oa]]+Calculations[[#This Row],[sc´_v_ca]])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791CB-93F5-4245-86BB-617D821C6FEC}">
  <dimension ref="A2:BX66"/>
  <sheetViews>
    <sheetView tabSelected="1" topLeftCell="C1" zoomScaleNormal="100" workbookViewId="0">
      <selection activeCell="H19" sqref="H19"/>
    </sheetView>
  </sheetViews>
  <sheetFormatPr baseColWidth="10" defaultRowHeight="15" x14ac:dyDescent="0.25"/>
  <cols>
    <col min="1" max="35" width="20.7109375" customWidth="1"/>
    <col min="36" max="36" width="20.42578125" customWidth="1"/>
    <col min="37" max="55" width="20.7109375" customWidth="1"/>
    <col min="56" max="61" width="11.42578125" customWidth="1"/>
  </cols>
  <sheetData>
    <row r="2" spans="1:76" x14ac:dyDescent="0.25">
      <c r="A2" t="s">
        <v>89</v>
      </c>
      <c r="B2" t="s">
        <v>1</v>
      </c>
      <c r="C2" s="1" t="s">
        <v>87</v>
      </c>
      <c r="D2" t="s">
        <v>2</v>
      </c>
      <c r="E2" t="s">
        <v>42</v>
      </c>
      <c r="F2" t="s">
        <v>3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38</v>
      </c>
      <c r="M2" t="s">
        <v>39</v>
      </c>
      <c r="N2" t="s">
        <v>11</v>
      </c>
      <c r="O2" t="s">
        <v>16</v>
      </c>
      <c r="P2" t="s">
        <v>17</v>
      </c>
      <c r="Q2" t="s">
        <v>84</v>
      </c>
      <c r="R2" t="s">
        <v>85</v>
      </c>
      <c r="S2" t="s">
        <v>25</v>
      </c>
      <c r="T2" t="s">
        <v>26</v>
      </c>
      <c r="U2" t="s">
        <v>27</v>
      </c>
      <c r="V2" t="s">
        <v>28</v>
      </c>
      <c r="W2" t="s">
        <v>32</v>
      </c>
      <c r="X2" t="s">
        <v>33</v>
      </c>
    </row>
    <row r="3" spans="1:76" x14ac:dyDescent="0.25">
      <c r="B3">
        <v>2010</v>
      </c>
      <c r="C3" s="8">
        <v>3.7400000000000003E-2</v>
      </c>
      <c r="D3" s="10">
        <v>202400000000</v>
      </c>
      <c r="E3" s="2">
        <v>3.4000000000000002E-2</v>
      </c>
      <c r="F3" s="2">
        <v>0.19159999999999999</v>
      </c>
      <c r="G3" s="4">
        <v>0.19</v>
      </c>
      <c r="H3" s="4">
        <v>7.0000000000000007E-2</v>
      </c>
      <c r="I3" s="4">
        <v>0</v>
      </c>
      <c r="J3" s="6">
        <v>0.85</v>
      </c>
      <c r="K3" s="6">
        <v>1.3</v>
      </c>
      <c r="L3" s="5">
        <v>0.22</v>
      </c>
      <c r="M3" s="5">
        <v>0.78</v>
      </c>
      <c r="N3" s="6">
        <v>0.66</v>
      </c>
      <c r="O3" s="7">
        <v>0.1651</v>
      </c>
      <c r="P3" s="7">
        <v>0.64329999999999998</v>
      </c>
      <c r="Q3" s="2">
        <v>0.6603</v>
      </c>
      <c r="R3" s="2">
        <v>0.3397</v>
      </c>
      <c r="S3" s="4">
        <v>0.75</v>
      </c>
      <c r="T3" s="4">
        <v>0.25</v>
      </c>
      <c r="U3" s="4">
        <v>0.4</v>
      </c>
      <c r="V3" s="4">
        <v>0.06</v>
      </c>
      <c r="W3" s="4">
        <v>0.97</v>
      </c>
      <c r="X3" s="4">
        <v>0.71</v>
      </c>
    </row>
    <row r="4" spans="1:76" x14ac:dyDescent="0.25">
      <c r="B4">
        <v>2011</v>
      </c>
      <c r="C4" s="8">
        <v>4.1000000000000002E-2</v>
      </c>
      <c r="L4" s="6"/>
    </row>
    <row r="5" spans="1:76" ht="15" customHeight="1" x14ac:dyDescent="0.25">
      <c r="B5">
        <v>2012</v>
      </c>
      <c r="C5" s="8">
        <v>4.3200000000000002E-2</v>
      </c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</row>
    <row r="6" spans="1:76" x14ac:dyDescent="0.25">
      <c r="B6">
        <v>2013</v>
      </c>
      <c r="C6" s="8">
        <v>4.4600000000000001E-2</v>
      </c>
    </row>
    <row r="7" spans="1:76" x14ac:dyDescent="0.25">
      <c r="B7">
        <v>2014</v>
      </c>
      <c r="C7" s="8">
        <v>4.5999999999999999E-2</v>
      </c>
    </row>
    <row r="8" spans="1:76" x14ac:dyDescent="0.25">
      <c r="B8">
        <v>2015</v>
      </c>
      <c r="C8" s="8">
        <v>4.8399999999999999E-2</v>
      </c>
    </row>
    <row r="9" spans="1:76" ht="15" customHeight="1" x14ac:dyDescent="0.25">
      <c r="B9">
        <v>2016</v>
      </c>
      <c r="C9" s="8">
        <v>4.9599999999999998E-2</v>
      </c>
      <c r="AR9" s="2"/>
    </row>
    <row r="10" spans="1:76" x14ac:dyDescent="0.25">
      <c r="B10">
        <v>2017</v>
      </c>
      <c r="C10" s="8">
        <v>5.2299999999999999E-2</v>
      </c>
      <c r="BC10" s="2"/>
    </row>
    <row r="11" spans="1:76" x14ac:dyDescent="0.25">
      <c r="B11">
        <v>2018</v>
      </c>
      <c r="C11" s="8">
        <v>5.3100000000000001E-2</v>
      </c>
    </row>
    <row r="12" spans="1:76" x14ac:dyDescent="0.25">
      <c r="B12">
        <v>2019</v>
      </c>
      <c r="C12" s="8">
        <v>5.6800000000000003E-2</v>
      </c>
    </row>
    <row r="13" spans="1:76" x14ac:dyDescent="0.25">
      <c r="B13">
        <v>2020</v>
      </c>
      <c r="C13" s="8">
        <v>6.4000000000000001E-2</v>
      </c>
    </row>
    <row r="14" spans="1:76" x14ac:dyDescent="0.25">
      <c r="B14">
        <v>2021</v>
      </c>
      <c r="C14" s="8">
        <v>6.8000000000000005E-2</v>
      </c>
    </row>
    <row r="15" spans="1:76" s="1" customFormat="1" ht="30" x14ac:dyDescent="0.25">
      <c r="A15" s="1" t="s">
        <v>37</v>
      </c>
      <c r="C15" s="1" t="s">
        <v>103</v>
      </c>
      <c r="D15" s="1" t="s">
        <v>104</v>
      </c>
      <c r="E15" s="1" t="s">
        <v>105</v>
      </c>
      <c r="F15" s="1" t="s">
        <v>88</v>
      </c>
      <c r="J15" s="1" t="s">
        <v>100</v>
      </c>
      <c r="K15" s="1" t="s">
        <v>101</v>
      </c>
      <c r="L15" s="1" t="s">
        <v>99</v>
      </c>
      <c r="M15" s="1" t="s">
        <v>99</v>
      </c>
      <c r="N15" s="1" t="s">
        <v>100</v>
      </c>
      <c r="O15" s="1" t="s">
        <v>99</v>
      </c>
      <c r="P15" s="1" t="s">
        <v>99</v>
      </c>
      <c r="Q15" s="1" t="s">
        <v>99</v>
      </c>
      <c r="R15" s="1" t="s">
        <v>99</v>
      </c>
      <c r="S15" s="1" t="s">
        <v>102</v>
      </c>
      <c r="T15" s="1" t="s">
        <v>102</v>
      </c>
      <c r="U15" s="1" t="s">
        <v>102</v>
      </c>
      <c r="V15" s="1" t="s">
        <v>102</v>
      </c>
      <c r="W15" s="1" t="s">
        <v>102</v>
      </c>
      <c r="X15" s="1" t="s">
        <v>102</v>
      </c>
    </row>
    <row r="16" spans="1:76" x14ac:dyDescent="0.25">
      <c r="N16" s="3"/>
      <c r="O16" t="s">
        <v>88</v>
      </c>
    </row>
    <row r="18" spans="1:59" ht="15" customHeight="1" x14ac:dyDescent="0.25">
      <c r="A18" t="s">
        <v>90</v>
      </c>
      <c r="B18" s="1" t="s">
        <v>0</v>
      </c>
      <c r="C18" s="1" t="s">
        <v>43</v>
      </c>
      <c r="D18" s="1" t="s">
        <v>4</v>
      </c>
      <c r="E18" s="1" t="s">
        <v>44</v>
      </c>
      <c r="F18" s="1" t="s">
        <v>45</v>
      </c>
      <c r="G18" s="1" t="s">
        <v>46</v>
      </c>
      <c r="H18" s="1" t="s">
        <v>40</v>
      </c>
      <c r="I18" s="1" t="s">
        <v>41</v>
      </c>
      <c r="J18" s="1" t="s">
        <v>10</v>
      </c>
      <c r="K18" s="1" t="s">
        <v>12</v>
      </c>
      <c r="L18" s="1" t="s">
        <v>13</v>
      </c>
      <c r="M18" s="1" t="s">
        <v>14</v>
      </c>
      <c r="N18" s="1" t="s">
        <v>15</v>
      </c>
      <c r="O18" s="1" t="s">
        <v>36</v>
      </c>
      <c r="P18" t="s">
        <v>86</v>
      </c>
      <c r="Q18" s="1" t="s">
        <v>18</v>
      </c>
      <c r="R18" s="1" t="s">
        <v>19</v>
      </c>
      <c r="S18" s="1" t="s">
        <v>20</v>
      </c>
      <c r="T18" s="1" t="s">
        <v>21</v>
      </c>
      <c r="U18" s="1" t="s">
        <v>22</v>
      </c>
      <c r="V18" s="1" t="s">
        <v>23</v>
      </c>
      <c r="W18" s="1" t="s">
        <v>24</v>
      </c>
      <c r="X18" s="1" t="s">
        <v>29</v>
      </c>
      <c r="Y18" s="1" t="s">
        <v>30</v>
      </c>
      <c r="Z18" s="1" t="s">
        <v>31</v>
      </c>
      <c r="AA18" s="1" t="s">
        <v>34</v>
      </c>
      <c r="AB18" s="1" t="s">
        <v>35</v>
      </c>
      <c r="AC18" s="1" t="s">
        <v>83</v>
      </c>
      <c r="AD18" s="1" t="s">
        <v>50</v>
      </c>
      <c r="AE18" s="1" t="s">
        <v>51</v>
      </c>
      <c r="AF18" s="1" t="s">
        <v>52</v>
      </c>
      <c r="AG18" s="1" t="s">
        <v>53</v>
      </c>
      <c r="AH18" s="1" t="s">
        <v>54</v>
      </c>
      <c r="AI18" s="1" t="s">
        <v>55</v>
      </c>
      <c r="AJ18" s="1" t="s">
        <v>56</v>
      </c>
      <c r="AK18" s="1" t="s">
        <v>57</v>
      </c>
      <c r="AL18" s="1" t="s">
        <v>70</v>
      </c>
      <c r="AM18" s="1" t="s">
        <v>71</v>
      </c>
      <c r="AN18" s="1" t="s">
        <v>72</v>
      </c>
      <c r="AO18" s="1" t="s">
        <v>73</v>
      </c>
      <c r="AP18" s="1" t="s">
        <v>74</v>
      </c>
      <c r="AQ18" s="1" t="s">
        <v>68</v>
      </c>
      <c r="AR18" s="1" t="s">
        <v>69</v>
      </c>
      <c r="AS18" s="1" t="s">
        <v>66</v>
      </c>
      <c r="AT18" s="1" t="s">
        <v>67</v>
      </c>
      <c r="AU18" s="1" t="s">
        <v>60</v>
      </c>
      <c r="AV18" s="1" t="s">
        <v>61</v>
      </c>
      <c r="AW18" s="1" t="s">
        <v>58</v>
      </c>
      <c r="AX18" s="1" t="s">
        <v>59</v>
      </c>
      <c r="AY18" s="1" t="s">
        <v>64</v>
      </c>
      <c r="AZ18" s="1" t="s">
        <v>65</v>
      </c>
      <c r="BA18" s="1" t="s">
        <v>62</v>
      </c>
      <c r="BB18" s="1" t="s">
        <v>63</v>
      </c>
    </row>
    <row r="19" spans="1:59" x14ac:dyDescent="0.25">
      <c r="B19" s="2">
        <f>_xlfn.FORECAST.ETS(2023,C3:C14,B3:B14,1,1)</f>
        <v>6.8957753541634415E-2</v>
      </c>
      <c r="C19" s="2">
        <f>(B19*D3-E3*F3*D3)/((1-F3)*D3)</f>
        <v>7.7243138967880279E-2</v>
      </c>
      <c r="D19" s="2" cm="1">
        <f t="array" ref="D19">Inputdata[(s_m_o/s_m)_b]*Inputdata[s_mb]</f>
        <v>6.5144000000000001E-3</v>
      </c>
      <c r="E19" s="2">
        <f>Calculations[[#This Row],[s_ob]]-Calculations[[#This Row],[s_m_ob]]</f>
        <v>6.2443353541634411E-2</v>
      </c>
      <c r="F19" s="2" cm="1">
        <f t="array" ref="F19">Inputdata[s_mb]-Calculations[[#This Row],[s_m_ob]]</f>
        <v>0.18508559999999999</v>
      </c>
      <c r="G19" s="2" cm="1">
        <f t="array" ref="G19">1-Inputdata[s_mb]-Calculations[[#This Row],[s_v_ob]]</f>
        <v>0.74595664645836557</v>
      </c>
      <c r="H19" s="2" cm="1">
        <f t="array" ref="H19">(Inputdata[s_mb]-Calculations[[#This Row],[s_m_ob]])-((((1+Inputdata[VAT_reg])/(1+Inputdata[VAT_red]))-1)*(Inputdata[s_mb]-Calculations[[#This Row],[s_m_ob]])*Inputdata[p_m])</f>
        <v>0.16744192598130844</v>
      </c>
      <c r="I19" s="8" cm="1">
        <f t="array" ref="I19">Calculations[[#This Row],[s_m_ob]]*(1+((1+Inputdata[VAT_reg])/(1+Inputdata[VAT_red])-1)*Inputdata[cp_m_om_c])</f>
        <v>7.4641629906542044E-3</v>
      </c>
      <c r="J19" s="8" cm="1">
        <f t="array" ref="J19">Calculations[[#This Row],[(s_v_o/s_v)_b]]+((((Inputdata[sVat_reg]/(1-Inputdata[s_mb]))*(1-((1+Inputdata[VAT_zer])/(1+Inputdata[VAT_reg]))))+(((Inputdata[sVat_red]-Inputdata[s_mb])/(1-Inputdata[s_mb]))*((1-((1+Inputdata[VAT_zer])/(1+Inputdata[VAT_red]))))))*Inputdata[p_o]*Calculations[[#This Row],[(s_v_o/s_v)_b]])</f>
        <v>8.1885837216405383E-2</v>
      </c>
      <c r="K19" s="2">
        <f>1-Calculations[[#This Row],[s_m_ca]]-Calculations[[#This Row],[s_m_oa]]</f>
        <v>0.82509391102803731</v>
      </c>
      <c r="L19" s="2">
        <f>Calculations[[#This Row],[(s_v_o/s_v)_a]]*Calculations[[#This Row],[s_va]]</f>
        <v>6.7563505686689132E-2</v>
      </c>
      <c r="M19" s="2">
        <f>(1-Calculations[[#This Row],[(s_v_o/s_v)_a]])*Calculations[[#This Row],[s_va]]</f>
        <v>0.75753040534134819</v>
      </c>
      <c r="N19" s="9" cm="1">
        <f t="array" ref="N19">(Inputdata[s_db]*(Inputdata[VAT_red]/(1+Inputdata[VAT_red]))*Inputdata[t]+Inputdata[s_wb]*(Inputdata[VAT_red]/(1+Inputdata[VAT_red]))*Inputdata[t]*Inputdata[s_wVat_red/s_wb]+Inputdata[s_wb]*(Inputdata[VAT_reg]/(1+Inputdata[VAT_reg]))*Inputdata[t]*Inputdata[s_wVat_reg/s_wb])*(1-Calculations[[#This Row],[(s_v_o/s_v)_b]])</f>
        <v>13723728717.128376</v>
      </c>
      <c r="O19" s="9" cm="1">
        <f t="array" ref="O19">(Inputdata[s_db]*(Inputdata[VAT_red]/(1+Inputdata[VAT_red]))*Inputdata[t]+Inputdata[s_wb]*(Inputdata[VAT_red]/(1+Inputdata[VAT_red]))*Inputdata[t]*Inputdata[s_wVat_red/s_wb]+Inputdata[s_wb]*(Inputdata[VAT_reg]/(1+Inputdata[VAT_reg]))*Inputdata[t]*Inputdata[s_wVat_reg/s_wb])*Calculations[[#This Row],[(s_v_o/s_v)_b]]</f>
        <v>1148800869.6775622</v>
      </c>
      <c r="P19" s="2" cm="1">
        <f t="array" ref="P19">(Inputdata[s_wVat_red/s_wb]*Inputdata[s_wb])/(Inputdata[s_wb]+Inputdata[s_db])+Inputdata[s_db]/(Inputdata[s_wb]+Inputdata[s_db])</f>
        <v>0.72967712765957438</v>
      </c>
      <c r="Q19" s="9" cm="1">
        <f t="array" ref="Q19">Inputdata[s_mb]*(Inputdata[VAT_red]/(1+Inputdata[VAT_red]))*Inputdata[t]*(1-Inputdata[(s_m_o/s_m)_b])</f>
        <v>2450740916.6355147</v>
      </c>
      <c r="R19" s="9" cm="1">
        <f t="array" ref="R19">Inputdata[s_mb]*(Inputdata[VAT_red]/(1+Inputdata[VAT_red]))*Inputdata[t]*Inputdata[(s_m_o/s_m)_b]</f>
        <v>86257961.869158909</v>
      </c>
      <c r="S19" s="9" cm="1">
        <f t="array" ref="S19">((1-Calculations[[#This Row],[s_m_ca]]-Calculations[[#This Row],[s_m_oa]])*(Inputdata[VAT_red]/(1+Inputdata[VAT_red]))*Calculations[[#This Row],[s_vVat_red/s_vb]]*Inputdata[t]+(1-Calculations[[#This Row],[s_m_ca]]-Calculations[[#This Row],[s_m_oa]])*(Inputdata[VAT_reg]/(1+Inputdata[VAT_reg]))*(1-Calculations[[#This Row],[s_vVat_red/s_vb]])*Inputdata[t])*(1-Calculations[[#This Row],[(s_v_o/s_v)_a]])</f>
        <v>13936656811.410561</v>
      </c>
      <c r="T19" s="9" cm="1">
        <f t="array" ref="T19">((1-Calculations[[#This Row],[s_m_ca]]-Calculations[[#This Row],[s_m_oa]])*(Inputdata[VAT_zer]*Inputdata[VAT_zer]/(1+Inputdata[VAT_zer]))*Calculations[[#This Row],[s_vVat_red/s_vb]]*Inputdata[t]+(1-Calculations[[#This Row],[s_m_ca]]-Calculations[[#This Row],[s_m_oa]])*(Inputdata[VAT_zer]*Inputdata[VAT_zer]/(1+Inputdata[VAT_zer]))*(1-Calculations[[#This Row],[s_vVat_red/s_vb]])*Inputdata[t])*Calculations[[#This Row],[(s_v_o/s_v)_a]]</f>
        <v>0</v>
      </c>
      <c r="U19" s="9" cm="1">
        <f t="array" ref="U19">Calculations[[#This Row],[s_m_ca]]*(Inputdata[VAT_reg]/(1+Inputdata[VAT_reg]))*Inputdata[t]</f>
        <v>5411047651.7119312</v>
      </c>
      <c r="V19" s="9" cm="1">
        <f t="array" ref="V19">Calculations[[#This Row],[s_m_oa]]*(Inputdata[VAT_red]/(1+Inputdata[VAT_red]))*Inputdata[t]</f>
        <v>98833889.020176426</v>
      </c>
      <c r="W19" s="2" cm="1">
        <f t="array" ref="W19">(Inputdata[s_db]/(Inputdata[s_db]+Inputdata[s_wb]))*Inputdata[e_d_c]+(1-Inputdata[s_db]/(Inputdata[s_db]+Inputdata[s_wb]))*Inputdata[e_w_c]</f>
        <v>0.35211528946066301</v>
      </c>
      <c r="X19" s="2" cm="1">
        <f t="array" ref="X19">(Inputdata[s_db]/(Inputdata[s_db]+Inputdata[s_wb]))*Inputdata[e_d_o]+(1-Inputdata[s_db]/(Inputdata[s_db]+Inputdata[s_wb]))*Inputdata[e_w_o]</f>
        <v>0.12943839683325087</v>
      </c>
      <c r="Y19" s="9" cm="1">
        <f t="array" ref="Y19">Calculations[[#This Row],[sc_m_cb]]*Inputdata[t]*Inputdata[e_m_c]+Calculations[[#This Row],[sc_m_ob]]*Inputdata[t]*Inputdata[e_m_o]</f>
        <v>38355142142.239067</v>
      </c>
      <c r="Z19" s="9" cm="1">
        <f t="array" ref="Z19">Calculations[[#This Row],[sc_v_cb]]*Inputdata[t]*Calculations[[#This Row],[e_v_c]]+Calculations[[#This Row],[sc_v_ob]]*Inputdata[t]*Calculations[[#This Row],[e_v_o]]</f>
        <v>54421999122.281837</v>
      </c>
      <c r="AA19" s="9" cm="1">
        <f t="array" ref="AA19">Calculations[[#This Row],[sc_m_ca]]*Inputdata[t]*Inputdata[e_m_c]+Calculations[[#This Row],[sc_m_oa]]*Inputdata[t]*Inputdata[e_m_o]</f>
        <v>31037252042.374622</v>
      </c>
      <c r="AB19" s="9" cm="1">
        <f t="array" ref="AB19">Calculations[[#This Row],[sc_v_ca]]*Inputdata[t]*Calculations[[#This Row],[e_v_c]]+Calculations[[#This Row],[sc_v_oa]]*Inputdata[t]*Calculations[[#This Row],[e_v_o]]</f>
        <v>56431269757.760605</v>
      </c>
      <c r="AC19" s="9">
        <f>(Calculations[[#This Row],[e_mb]]+Calculations[[#This Row],[e_vb]])-(Calculations[[#This Row],[e_ma]]+Calculations[[#This Row],[e_va]])</f>
        <v>5308619464.3856812</v>
      </c>
      <c r="AD19" s="9" cm="1">
        <f t="array" ref="AD19">Calculations[[#This Row],[sc_m_ob]]*Inputdata[t]*Inputdata[e_m_o]</f>
        <v>963308014.60074389</v>
      </c>
      <c r="AE19" s="9" cm="1">
        <f t="array" ref="AE19">Calculations[[#This Row],[sc_m_cb]]*Inputdata[t]*Inputdata[e_m_c]</f>
        <v>37391834127.638321</v>
      </c>
      <c r="AF19" s="9" cm="1">
        <f t="array" ref="AF19">Calculations[[#This Row],[sc_v_ob]]*Inputdata[t]*Calculations[[#This Row],[e_v_o]]</f>
        <v>1624661526.4676874</v>
      </c>
      <c r="AG19" s="9" cm="1">
        <f t="array" ref="AG19">Calculations[[#This Row],[sc_v_cb]]*Inputdata[t]*Calculations[[#This Row],[e_v_c]]</f>
        <v>52797337595.814148</v>
      </c>
      <c r="AH19" s="9" cm="1">
        <f t="array" ref="AH19">Calculations[[#This Row],[sc_m_oa]]*Inputdata[t]*Inputdata[e_m_o]</f>
        <v>1120758737.8895903</v>
      </c>
      <c r="AI19" s="9" cm="1">
        <f t="array" ref="AI19">Calculations[[#This Row],[sc_m_ca]]*Inputdata[t]*Inputdata[e_m_c]</f>
        <v>29916493304.485031</v>
      </c>
      <c r="AJ19" s="9" cm="1">
        <f t="array" ref="AJ19">Calculations[[#This Row],[sc_v_oa]]*Inputdata[t]*Calculations[[#This Row],[e_v_o]]</f>
        <v>1988680535.7766609</v>
      </c>
      <c r="AK19" s="9" cm="1">
        <f t="array" ref="AK19">Calculations[[#This Row],[sc_v_ca]]*Inputdata[t]*Calculations[[#This Row],[e_v_c]]</f>
        <v>54442589221.98394</v>
      </c>
      <c r="AL19" s="2" cm="1">
        <f t="array" ref="AL19">Calculations[[#This Row],[s_vVat_red/s_vb]]*Inputdata[VAT_red]+(1-Calculations[[#This Row],[s_vVat_red/s_vb]])*Inputdata[VAT_reg]</f>
        <v>0.10243874468085108</v>
      </c>
      <c r="AM19" s="8" cm="1">
        <f t="array" ref="AM19">Calculations[[#This Row],[(s_v_o/s_v)_b]]*((1-Inputdata[s_mb])*(1-Calculations[[#This Row],[VAT_v]]))</f>
        <v>5.6046734791166813E-2</v>
      </c>
      <c r="AN19" s="8" cm="1">
        <f t="array" ref="AN19">(1-Calculations[[#This Row],[(s_v_o/s_v)_b]])*((1-Inputdata[s_mb])*(1-Calculations[[#This Row],[VAT_v]]))</f>
        <v>0.66954178400883313</v>
      </c>
      <c r="AO19" s="8" cm="1">
        <f t="array" ref="AO19">(Calculations[[#This Row],[s_m_ob]]*(1-Inputdata[VAT_red]))</f>
        <v>6.0583919999999993E-3</v>
      </c>
      <c r="AP19" s="8" cm="1">
        <f t="array" ref="AP19">(1-Calculations[[#This Row],[s_m_ob]]/Inputdata[s_mb])*(Inputdata[s_mb]*(1-Inputdata[VAT_red]))</f>
        <v>0.17212960799999999</v>
      </c>
      <c r="AQ19" s="8">
        <f>Calculations[[#This Row],[sc´_v_ob]]/(Calculations[[#This Row],[sc´_v_ob]]+Calculations[[#This Row],[sc´_v_cb]]+Calculations[[#This Row],[sc´_m_ob]]+Calculations[[#This Row],[sc´_m_cb]])</f>
        <v>6.2013931127114848E-2</v>
      </c>
      <c r="AR19" s="8">
        <f>Calculations[[#This Row],[sc´_v_cb]]/(Calculations[[#This Row],[sc´_v_ob]]+Calculations[[#This Row],[sc´_v_cb]]+Calculations[[#This Row],[sc´_m_ob]]+Calculations[[#This Row],[sc´_m_cb]])</f>
        <v>0.74082670890567637</v>
      </c>
      <c r="AS19" s="8">
        <f>Calculations[[#This Row],[sc´_m_ob]]/(Calculations[[#This Row],[sc´_v_ob]]+Calculations[[#This Row],[sc´_v_cb]]+Calculations[[#This Row],[sc´_m_ob]]+Calculations[[#This Row],[sc´_m_cb]])</f>
        <v>6.7034182388850966E-3</v>
      </c>
      <c r="AT19" s="8">
        <f>Calculations[[#This Row],[sc´_m_cb]]/(Calculations[[#This Row],[sc´_v_ob]]+Calculations[[#This Row],[sc´_v_cb]]+Calculations[[#This Row],[sc´_m_ob]]+Calculations[[#This Row],[sc´_m_cb]])</f>
        <v>0.19045594172832364</v>
      </c>
      <c r="AU19" s="8" cm="1">
        <f t="array" ref="AU19">(Calculations[[#This Row],[s_m_oa]]*(1-Inputdata[VAT_red]))</f>
        <v>6.9416715813084093E-3</v>
      </c>
      <c r="AV19" s="8" cm="1">
        <f t="array" ref="AV19">Calculations[[#This Row],[s_m_ca]]*(1-Inputdata[VAT_reg])</f>
        <v>0.13562796004485986</v>
      </c>
      <c r="AW19" s="8" cm="1">
        <f t="array" ref="AW19">Calculations[[#This Row],[s_v_oa]]*(1-Inputdata[VAT_zer])</f>
        <v>6.7563505686689132E-2</v>
      </c>
      <c r="AX19" s="8">
        <f>Calculations[[#This Row],[s_v_ca]]*(1-Calculations[[#This Row],[VAT_v]])</f>
        <v>0.67992994156060416</v>
      </c>
      <c r="AY19" s="8">
        <f>Calculations[[#This Row],[sc´_m_oa]]/(Calculations[[#This Row],[sc´_m_oa]]+Calculations[[#This Row],[sc´_m_ca]]+Calculations[[#This Row],[sc´_v_oa]]+Calculations[[#This Row],[sc´_v_ca]])</f>
        <v>7.7990782294827584E-3</v>
      </c>
      <c r="AZ19" s="8">
        <f>Calculations[[#This Row],[sc´_m_ca]]/(Calculations[[#This Row],[sc´_m_oa]]+Calculations[[#This Row],[sc´_m_ca]]+Calculations[[#This Row],[sc´_v_oa]]+Calculations[[#This Row],[sc´_v_ca]])</f>
        <v>0.15238016637710888</v>
      </c>
      <c r="BA19" s="8">
        <f>Calculations[[#This Row],[sc´_v_oa]]/(Calculations[[#This Row],[sc´_m_oa]]+Calculations[[#This Row],[sc´_m_ca]]+Calculations[[#This Row],[sc´_v_oa]]+Calculations[[#This Row],[sc´_v_ca]])</f>
        <v>7.5908671295750366E-2</v>
      </c>
      <c r="BB19" s="8">
        <f>Calculations[[#This Row],[sc´_v_ca]]/(Calculations[[#This Row],[sc´_m_oa]]+Calculations[[#This Row],[sc´_m_ca]]+Calculations[[#This Row],[sc´_v_oa]]+Calculations[[#This Row],[sc´_v_ca]])</f>
        <v>0.76391208409765798</v>
      </c>
    </row>
    <row r="20" spans="1:59" ht="15.75" thickBot="1" x14ac:dyDescent="0.3">
      <c r="O20" s="12"/>
    </row>
    <row r="21" spans="1:59" ht="60.75" thickBot="1" x14ac:dyDescent="0.3">
      <c r="A21" t="s">
        <v>106</v>
      </c>
      <c r="B21" s="61" t="s">
        <v>47</v>
      </c>
      <c r="C21" s="62"/>
      <c r="D21" s="63"/>
      <c r="E21" s="18" t="s">
        <v>108</v>
      </c>
      <c r="F21" s="19" t="s">
        <v>109</v>
      </c>
      <c r="G21" s="19" t="s">
        <v>107</v>
      </c>
      <c r="R21" s="2"/>
    </row>
    <row r="22" spans="1:59" x14ac:dyDescent="0.25">
      <c r="B22" s="64" t="s">
        <v>80</v>
      </c>
      <c r="C22" s="65"/>
      <c r="D22" s="66"/>
      <c r="E22" s="20" cm="1">
        <f t="array" ref="E22">Calculations[s_m_ob]</f>
        <v>6.5144000000000001E-3</v>
      </c>
      <c r="F22" s="21" cm="1">
        <f t="array" ref="F22">Calculations[s_m_oa]</f>
        <v>7.4641629906542044E-3</v>
      </c>
      <c r="G22" s="22">
        <f>F22/E22-1</f>
        <v>0.14579439252336424</v>
      </c>
    </row>
    <row r="23" spans="1:59" x14ac:dyDescent="0.25">
      <c r="B23" s="52" t="s">
        <v>79</v>
      </c>
      <c r="C23" s="53"/>
      <c r="D23" s="54"/>
      <c r="E23" s="23" cm="1">
        <f t="array" ref="E23">Calculations[s_m_cb]</f>
        <v>0.18508559999999999</v>
      </c>
      <c r="F23" s="24" cm="1">
        <f t="array" ref="F23">Calculations[s_m_ca]</f>
        <v>0.16744192598130844</v>
      </c>
      <c r="G23" s="25">
        <f>F23/E23-1</f>
        <v>-9.5327102803738129E-2</v>
      </c>
      <c r="P23" s="2"/>
      <c r="Q23" s="2"/>
      <c r="R23" s="2"/>
    </row>
    <row r="24" spans="1:59" x14ac:dyDescent="0.25">
      <c r="B24" s="52" t="s">
        <v>82</v>
      </c>
      <c r="C24" s="53"/>
      <c r="D24" s="54"/>
      <c r="E24" s="23" cm="1">
        <f t="array" ref="E24">Calculations[s_v_ob]</f>
        <v>6.2443353541634411E-2</v>
      </c>
      <c r="F24" s="24" cm="1">
        <f t="array" ref="F24">Calculations[s_v_oa]</f>
        <v>6.7563505686689132E-2</v>
      </c>
      <c r="G24" s="25">
        <f>F24/E24-1</f>
        <v>8.1996751530022172E-2</v>
      </c>
      <c r="BE24" s="9"/>
      <c r="BF24" s="9"/>
      <c r="BG24" s="13"/>
    </row>
    <row r="25" spans="1:59" ht="15.75" thickBot="1" x14ac:dyDescent="0.3">
      <c r="B25" s="55" t="s">
        <v>81</v>
      </c>
      <c r="C25" s="56"/>
      <c r="D25" s="57"/>
      <c r="E25" s="26" cm="1">
        <f t="array" ref="E25">Calculations[s_v_cb]</f>
        <v>0.74595664645836557</v>
      </c>
      <c r="F25" s="27" cm="1">
        <f t="array" ref="F25">Calculations[s_v_ca]</f>
        <v>0.75753040534134819</v>
      </c>
      <c r="G25" s="28">
        <f t="shared" ref="G25:G39" si="0">F25/E25-1</f>
        <v>1.551532376302589E-2</v>
      </c>
      <c r="BE25" s="9"/>
      <c r="BF25" s="9"/>
      <c r="BG25" s="13"/>
    </row>
    <row r="26" spans="1:59" x14ac:dyDescent="0.25">
      <c r="B26" s="58" t="s">
        <v>94</v>
      </c>
      <c r="C26" s="59"/>
      <c r="D26" s="60"/>
      <c r="E26" s="29" cm="1">
        <f t="array" ref="E26">Calculations[i_m_ob]</f>
        <v>86257961.869158909</v>
      </c>
      <c r="F26" s="30" cm="1">
        <f t="array" ref="F26">Calculations[i_m_oa]</f>
        <v>98833889.020176426</v>
      </c>
      <c r="G26" s="31">
        <f t="shared" si="0"/>
        <v>0.14579439252336401</v>
      </c>
    </row>
    <row r="27" spans="1:59" x14ac:dyDescent="0.25">
      <c r="B27" s="46" t="s">
        <v>92</v>
      </c>
      <c r="C27" s="47"/>
      <c r="D27" s="48"/>
      <c r="E27" s="32" cm="1">
        <f t="array" ref="E27">Calculations[i_m_cb]</f>
        <v>2450740916.6355147</v>
      </c>
      <c r="F27" s="33" cm="1">
        <f t="array" ref="F27">Calculations[i_m_ca]</f>
        <v>5411047651.7119312</v>
      </c>
      <c r="G27" s="34">
        <f t="shared" si="0"/>
        <v>1.207923169267707</v>
      </c>
    </row>
    <row r="28" spans="1:59" x14ac:dyDescent="0.25">
      <c r="B28" s="46" t="s">
        <v>91</v>
      </c>
      <c r="C28" s="47"/>
      <c r="D28" s="48"/>
      <c r="E28" s="32" cm="1">
        <f t="array" ref="E28">Calculations[i_v_ob]</f>
        <v>1148800869.6775622</v>
      </c>
      <c r="F28" s="33" cm="1">
        <f t="array" ref="F28">Calculations[i_v_oa]</f>
        <v>0</v>
      </c>
      <c r="G28" s="34">
        <f t="shared" si="0"/>
        <v>-1</v>
      </c>
    </row>
    <row r="29" spans="1:59" x14ac:dyDescent="0.25">
      <c r="B29" s="46" t="s">
        <v>93</v>
      </c>
      <c r="C29" s="47"/>
      <c r="D29" s="48"/>
      <c r="E29" s="32" cm="1">
        <f t="array" ref="E29">Calculations[i_v_cb]</f>
        <v>13723728717.128376</v>
      </c>
      <c r="F29" s="33" cm="1">
        <f t="array" ref="F29">Calculations[i_v_ca]</f>
        <v>13936656811.410561</v>
      </c>
      <c r="G29" s="34">
        <f t="shared" si="0"/>
        <v>1.5515323763026112E-2</v>
      </c>
    </row>
    <row r="30" spans="1:59" ht="15.75" thickBot="1" x14ac:dyDescent="0.3">
      <c r="B30" s="43" t="s">
        <v>48</v>
      </c>
      <c r="C30" s="44"/>
      <c r="D30" s="45"/>
      <c r="E30" s="35">
        <f>E26+E27+E28+E29</f>
        <v>17409528465.310612</v>
      </c>
      <c r="F30" s="36">
        <f>F26+F27+F28+F29</f>
        <v>19446538352.14267</v>
      </c>
      <c r="G30" s="37">
        <f t="shared" si="0"/>
        <v>0.11700546002098244</v>
      </c>
    </row>
    <row r="31" spans="1:59" x14ac:dyDescent="0.25">
      <c r="B31" s="49" t="s">
        <v>75</v>
      </c>
      <c r="C31" s="50"/>
      <c r="D31" s="51"/>
      <c r="E31" s="20" cm="1">
        <f t="array" ref="E31">Calculations[sc_m_ob]</f>
        <v>6.7034182388850966E-3</v>
      </c>
      <c r="F31" s="21" cm="1">
        <f t="array" ref="F31">Calculations[sc_m_oa]</f>
        <v>7.7990782294827584E-3</v>
      </c>
      <c r="G31" s="22">
        <f t="shared" si="0"/>
        <v>0.16344795320124472</v>
      </c>
    </row>
    <row r="32" spans="1:59" x14ac:dyDescent="0.25">
      <c r="B32" s="52" t="s">
        <v>76</v>
      </c>
      <c r="C32" s="53"/>
      <c r="D32" s="54"/>
      <c r="E32" s="23" cm="1">
        <f t="array" ref="E32">Calculations[sc_m_cb]</f>
        <v>0.19045594172832364</v>
      </c>
      <c r="F32" s="24" cm="1">
        <f t="array" ref="F32">Calculations[sc_m_ca]</f>
        <v>0.15238016637710888</v>
      </c>
      <c r="G32" s="25">
        <f t="shared" si="0"/>
        <v>-0.19991907317613666</v>
      </c>
    </row>
    <row r="33" spans="2:42" x14ac:dyDescent="0.25">
      <c r="B33" s="52" t="s">
        <v>77</v>
      </c>
      <c r="C33" s="53"/>
      <c r="D33" s="54"/>
      <c r="E33" s="23" cm="1">
        <f t="array" ref="E33">Calculations[sc_v_ob]</f>
        <v>6.2013931127114848E-2</v>
      </c>
      <c r="F33" s="24" cm="1">
        <f t="array" ref="F33">Calculations[sc_v_oa]</f>
        <v>7.5908671295750366E-2</v>
      </c>
      <c r="G33" s="25">
        <f t="shared" si="0"/>
        <v>0.2240583674683414</v>
      </c>
    </row>
    <row r="34" spans="2:42" ht="15.75" thickBot="1" x14ac:dyDescent="0.3">
      <c r="B34" s="55" t="s">
        <v>78</v>
      </c>
      <c r="C34" s="56"/>
      <c r="D34" s="57"/>
      <c r="E34" s="38" cm="1">
        <f t="array" ref="E34">Calculations[sc_v_cb]</f>
        <v>0.74082670890567637</v>
      </c>
      <c r="F34" s="27" cm="1">
        <f t="array" ref="F34">Calculations[sc_v_ca]</f>
        <v>0.76391208409765798</v>
      </c>
      <c r="G34" s="28">
        <f t="shared" si="0"/>
        <v>3.1161639982017597E-2</v>
      </c>
    </row>
    <row r="35" spans="2:42" ht="15" customHeight="1" x14ac:dyDescent="0.25">
      <c r="B35" s="58" t="s">
        <v>95</v>
      </c>
      <c r="C35" s="59"/>
      <c r="D35" s="60"/>
      <c r="E35" s="39" cm="1">
        <f t="array" ref="E35">Calculations[e_m_ob]</f>
        <v>963308014.60074389</v>
      </c>
      <c r="F35" s="40" cm="1">
        <f t="array" ref="F35">Calculations[e_m_oa]</f>
        <v>1120758737.8895903</v>
      </c>
      <c r="G35" s="34">
        <f t="shared" si="0"/>
        <v>0.16344795320124472</v>
      </c>
      <c r="AM35" s="1"/>
      <c r="AN35" s="1"/>
      <c r="AO35" s="1"/>
      <c r="AP35" s="1"/>
    </row>
    <row r="36" spans="2:42" ht="15" customHeight="1" x14ac:dyDescent="0.25">
      <c r="B36" s="46" t="s">
        <v>96</v>
      </c>
      <c r="C36" s="47"/>
      <c r="D36" s="48"/>
      <c r="E36" s="41" cm="1">
        <f t="array" ref="E36">Calculations[e_m_cb]</f>
        <v>37391834127.638321</v>
      </c>
      <c r="F36" s="41" cm="1">
        <f t="array" ref="F36">Calculations[e_m_ca]</f>
        <v>29916493304.485031</v>
      </c>
      <c r="G36" s="34">
        <f t="shared" si="0"/>
        <v>-0.19991907317613666</v>
      </c>
      <c r="AM36" s="1"/>
      <c r="AN36" s="11"/>
      <c r="AO36" s="11"/>
      <c r="AP36" s="11"/>
    </row>
    <row r="37" spans="2:42" x14ac:dyDescent="0.25">
      <c r="B37" s="46" t="s">
        <v>97</v>
      </c>
      <c r="C37" s="47"/>
      <c r="D37" s="48"/>
      <c r="E37" s="41" cm="1">
        <f t="array" ref="E37">Calculations[e_v_ob]</f>
        <v>1624661526.4676874</v>
      </c>
      <c r="F37" s="41" cm="1">
        <f t="array" ref="F37">Calculations[e_v_oa]</f>
        <v>1988680535.7766609</v>
      </c>
      <c r="G37" s="34">
        <f t="shared" si="0"/>
        <v>0.2240583674683414</v>
      </c>
      <c r="AN37" s="2"/>
      <c r="AO37" s="2"/>
      <c r="AP37" s="11"/>
    </row>
    <row r="38" spans="2:42" x14ac:dyDescent="0.25">
      <c r="B38" s="46" t="s">
        <v>98</v>
      </c>
      <c r="C38" s="47"/>
      <c r="D38" s="48"/>
      <c r="E38" s="41" cm="1">
        <f t="array" ref="E38">Calculations[e_v_cb]</f>
        <v>52797337595.814148</v>
      </c>
      <c r="F38" s="41" cm="1">
        <f t="array" ref="F38">Calculations[e_v_ca]</f>
        <v>54442589221.98394</v>
      </c>
      <c r="G38" s="34">
        <f t="shared" si="0"/>
        <v>3.1161639982017375E-2</v>
      </c>
      <c r="AN38" s="2"/>
      <c r="AO38" s="2"/>
      <c r="AP38" s="11"/>
    </row>
    <row r="39" spans="2:42" ht="15.75" thickBot="1" x14ac:dyDescent="0.3">
      <c r="B39" s="43" t="s">
        <v>49</v>
      </c>
      <c r="C39" s="44"/>
      <c r="D39" s="45"/>
      <c r="E39" s="42">
        <f>SUM(E35:E38)</f>
        <v>92777141264.520905</v>
      </c>
      <c r="F39" s="42">
        <f>SUM(F35:F38)</f>
        <v>87468521800.135223</v>
      </c>
      <c r="G39" s="37">
        <f t="shared" si="0"/>
        <v>-5.7219045467784446E-2</v>
      </c>
      <c r="AN39" s="2"/>
      <c r="AO39" s="2"/>
      <c r="AP39" s="11"/>
    </row>
    <row r="40" spans="2:42" x14ac:dyDescent="0.25">
      <c r="AN40" s="9"/>
      <c r="AO40" s="9"/>
      <c r="AP40" s="11"/>
    </row>
    <row r="41" spans="2:42" x14ac:dyDescent="0.25">
      <c r="AN41" s="9"/>
      <c r="AO41" s="9"/>
      <c r="AP41" s="11"/>
    </row>
    <row r="42" spans="2:42" x14ac:dyDescent="0.25">
      <c r="AN42" s="9"/>
      <c r="AO42" s="9"/>
      <c r="AP42" s="11"/>
    </row>
    <row r="43" spans="2:42" x14ac:dyDescent="0.25">
      <c r="AN43" s="9"/>
      <c r="AO43" s="9"/>
      <c r="AP43" s="11"/>
    </row>
    <row r="44" spans="2:42" x14ac:dyDescent="0.25">
      <c r="AN44" s="9"/>
      <c r="AO44" s="9"/>
      <c r="AP44" s="11"/>
    </row>
    <row r="45" spans="2:42" x14ac:dyDescent="0.25">
      <c r="AN45" s="9"/>
      <c r="AO45" s="9"/>
      <c r="AP45" s="11"/>
    </row>
    <row r="46" spans="2:42" x14ac:dyDescent="0.25">
      <c r="AN46" s="9"/>
      <c r="AO46" s="9"/>
      <c r="AP46" s="11"/>
    </row>
    <row r="47" spans="2:42" x14ac:dyDescent="0.25">
      <c r="AN47" s="9"/>
      <c r="AO47" s="9"/>
      <c r="AP47" s="11"/>
    </row>
    <row r="48" spans="2:42" x14ac:dyDescent="0.25">
      <c r="AN48" s="9"/>
      <c r="AO48" s="9"/>
      <c r="AP48" s="11"/>
    </row>
    <row r="49" spans="40:61" x14ac:dyDescent="0.25">
      <c r="AN49" s="9"/>
      <c r="AO49" s="9"/>
      <c r="AP49" s="11"/>
    </row>
    <row r="50" spans="40:61" x14ac:dyDescent="0.25">
      <c r="AN50" s="9"/>
      <c r="AO50" s="9"/>
      <c r="AP50" s="11"/>
    </row>
    <row r="51" spans="40:61" x14ac:dyDescent="0.25">
      <c r="AN51" s="9"/>
      <c r="AO51" s="9"/>
      <c r="AP51" s="11"/>
      <c r="BI51" s="8"/>
    </row>
    <row r="52" spans="40:61" x14ac:dyDescent="0.25">
      <c r="AN52" s="9"/>
      <c r="AO52" s="9"/>
      <c r="AP52" s="11"/>
      <c r="BD52" s="14"/>
      <c r="BE52" s="17"/>
      <c r="BF52" s="17"/>
      <c r="BG52" s="16"/>
    </row>
    <row r="53" spans="40:61" x14ac:dyDescent="0.25">
      <c r="AN53" s="9"/>
      <c r="AO53" s="9"/>
      <c r="AP53" s="11"/>
      <c r="BD53" s="14"/>
      <c r="BE53" s="17"/>
      <c r="BF53" s="17"/>
      <c r="BG53" s="16"/>
    </row>
    <row r="54" spans="40:61" x14ac:dyDescent="0.25">
      <c r="AN54" s="9"/>
      <c r="AO54" s="9"/>
      <c r="AP54" s="9"/>
    </row>
    <row r="55" spans="40:61" x14ac:dyDescent="0.25">
      <c r="AN55" s="9"/>
      <c r="AO55" s="9"/>
      <c r="AP55" s="11"/>
    </row>
    <row r="56" spans="40:61" x14ac:dyDescent="0.25">
      <c r="AN56" s="9"/>
      <c r="AO56" s="9"/>
      <c r="AP56" s="11"/>
    </row>
    <row r="57" spans="40:61" x14ac:dyDescent="0.25">
      <c r="AN57" s="9"/>
      <c r="AO57" s="9"/>
      <c r="AP57" s="11"/>
    </row>
    <row r="58" spans="40:61" x14ac:dyDescent="0.25">
      <c r="AN58" s="9"/>
      <c r="AO58" s="9"/>
      <c r="AP58" s="11"/>
    </row>
    <row r="59" spans="40:61" x14ac:dyDescent="0.25">
      <c r="AO59" s="2"/>
    </row>
    <row r="60" spans="40:61" x14ac:dyDescent="0.25">
      <c r="AO60" s="2"/>
    </row>
    <row r="61" spans="40:61" x14ac:dyDescent="0.25">
      <c r="AO61" s="2"/>
    </row>
    <row r="62" spans="40:61" x14ac:dyDescent="0.25">
      <c r="AO62" s="2"/>
      <c r="BD62" s="14"/>
      <c r="BE62" s="15"/>
      <c r="BF62" s="15"/>
    </row>
    <row r="63" spans="40:61" x14ac:dyDescent="0.25">
      <c r="BD63" s="14"/>
      <c r="BE63" s="15"/>
      <c r="BF63" s="15"/>
    </row>
    <row r="64" spans="40:61" x14ac:dyDescent="0.25">
      <c r="BD64" s="14"/>
      <c r="BE64" s="15"/>
      <c r="BF64" s="15"/>
    </row>
    <row r="65" spans="56:58" x14ac:dyDescent="0.25">
      <c r="BD65" s="14"/>
      <c r="BE65" s="15"/>
      <c r="BF65" s="15"/>
    </row>
    <row r="66" spans="56:58" x14ac:dyDescent="0.25">
      <c r="BD66" s="14"/>
      <c r="BE66" s="15"/>
      <c r="BF66" s="15"/>
    </row>
  </sheetData>
  <mergeCells count="19">
    <mergeCell ref="B21:D21"/>
    <mergeCell ref="B38:D38"/>
    <mergeCell ref="B27:D27"/>
    <mergeCell ref="B22:D22"/>
    <mergeCell ref="B23:D23"/>
    <mergeCell ref="B24:D24"/>
    <mergeCell ref="B25:D25"/>
    <mergeCell ref="B26:D26"/>
    <mergeCell ref="B39:D39"/>
    <mergeCell ref="B28:D28"/>
    <mergeCell ref="B29:D29"/>
    <mergeCell ref="B30:D30"/>
    <mergeCell ref="B31:D31"/>
    <mergeCell ref="B37:D37"/>
    <mergeCell ref="B32:D32"/>
    <mergeCell ref="B33:D33"/>
    <mergeCell ref="B34:D34"/>
    <mergeCell ref="B35:D35"/>
    <mergeCell ref="B36:D36"/>
  </mergeCells>
  <phoneticPr fontId="3" type="noConversion"/>
  <pageMargins left="0.7" right="0.7" top="0.78740157499999996" bottom="0.78740157499999996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2022-09-06T12:51:54Z</dcterms:created>
  <dcterms:modified xsi:type="dcterms:W3CDTF">2023-05-16T08:13:23Z</dcterms:modified>
</cp:coreProperties>
</file>