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MSK2_학회지\0_학회지2024\00_JM\03_편집국수정\TJOM-D-24-00138\"/>
    </mc:Choice>
  </mc:AlternateContent>
  <xr:revisionPtr revIDLastSave="0" documentId="13_ncr:1_{04E9FAA5-D23D-4F6E-88B6-69B8A60CD97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Table S1" sheetId="5" r:id="rId1"/>
    <sheet name="Table S2" sheetId="8" r:id="rId2"/>
    <sheet name="Table S3" sheetId="6" r:id="rId3"/>
    <sheet name="Table S4" sheetId="9" r:id="rId4"/>
    <sheet name="Table S5" sheetId="10" r:id="rId5"/>
    <sheet name="Table S6A" sheetId="4" r:id="rId6"/>
    <sheet name="Table S6B" sheetId="2" r:id="rId7"/>
    <sheet name="Table S6C" sheetId="1" r:id="rId8"/>
    <sheet name="Table S6D" sheetId="3" r:id="rId9"/>
    <sheet name="Table S7" sheetId="11" r:id="rId10"/>
    <sheet name="Table S8" sheetId="12" r:id="rId11"/>
  </sheets>
  <definedNames>
    <definedName name="_xlnm._FilterDatabase" localSheetId="5" hidden="1">'Table S6A'!$A$2:$K$179</definedName>
    <definedName name="_xlnm._FilterDatabase" localSheetId="6" hidden="1">'Table S6B'!$A$2:$K$180</definedName>
    <definedName name="_xlnm._FilterDatabase" localSheetId="7" hidden="1">'Table S6C'!$A$2:$K$186</definedName>
    <definedName name="_xlnm._FilterDatabase" localSheetId="8" hidden="1">'Table S6D'!$A$2:$K$184</definedName>
  </definedNames>
  <calcPr calcId="191029"/>
</workbook>
</file>

<file path=xl/calcChain.xml><?xml version="1.0" encoding="utf-8"?>
<calcChain xmlns="http://schemas.openxmlformats.org/spreadsheetml/2006/main">
  <c r="K184" i="3" l="1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E122" i="3"/>
  <c r="D122" i="3"/>
  <c r="C122" i="3"/>
  <c r="B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B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E43" i="3"/>
  <c r="D43" i="3"/>
  <c r="C43" i="3"/>
  <c r="B43" i="3"/>
  <c r="K42" i="3"/>
  <c r="D42" i="3"/>
  <c r="C42" i="3"/>
  <c r="B42" i="3"/>
  <c r="K41" i="3"/>
  <c r="K40" i="3"/>
  <c r="K39" i="3"/>
  <c r="K38" i="3"/>
  <c r="K37" i="3"/>
  <c r="K36" i="3"/>
  <c r="K35" i="3"/>
  <c r="K34" i="3"/>
  <c r="K33" i="3"/>
  <c r="K32" i="3"/>
  <c r="C32" i="3"/>
  <c r="B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E10" i="3"/>
  <c r="D10" i="3"/>
  <c r="C10" i="3"/>
  <c r="K9" i="3"/>
  <c r="E9" i="3"/>
  <c r="D9" i="3"/>
  <c r="C9" i="3"/>
  <c r="K8" i="3"/>
  <c r="K7" i="3"/>
  <c r="K6" i="3"/>
  <c r="K5" i="3"/>
  <c r="K4" i="3"/>
  <c r="K3" i="3"/>
  <c r="K186" i="1"/>
  <c r="C186" i="1"/>
  <c r="C184" i="3" s="1"/>
  <c r="B186" i="1"/>
  <c r="B184" i="3" s="1"/>
  <c r="K185" i="1"/>
  <c r="E185" i="1"/>
  <c r="C185" i="1"/>
  <c r="C183" i="3" s="1"/>
  <c r="B185" i="1"/>
  <c r="B183" i="3" s="1"/>
  <c r="K184" i="1"/>
  <c r="C184" i="1"/>
  <c r="C182" i="3" s="1"/>
  <c r="B184" i="1"/>
  <c r="B182" i="3" s="1"/>
  <c r="K183" i="1"/>
  <c r="C183" i="1"/>
  <c r="C181" i="3" s="1"/>
  <c r="B183" i="1"/>
  <c r="B181" i="3" s="1"/>
  <c r="K182" i="1"/>
  <c r="C182" i="1"/>
  <c r="C180" i="3" s="1"/>
  <c r="B182" i="1"/>
  <c r="B180" i="3" s="1"/>
  <c r="K181" i="1"/>
  <c r="C181" i="1"/>
  <c r="C179" i="3" s="1"/>
  <c r="B181" i="1"/>
  <c r="B179" i="3" s="1"/>
  <c r="K180" i="1"/>
  <c r="C180" i="1"/>
  <c r="C178" i="3" s="1"/>
  <c r="B180" i="1"/>
  <c r="B178" i="3" s="1"/>
  <c r="K179" i="1"/>
  <c r="C179" i="1"/>
  <c r="C177" i="3" s="1"/>
  <c r="B179" i="1"/>
  <c r="B177" i="3" s="1"/>
  <c r="K178" i="1"/>
  <c r="C178" i="1"/>
  <c r="C176" i="3" s="1"/>
  <c r="B178" i="1"/>
  <c r="B176" i="3" s="1"/>
  <c r="K177" i="1"/>
  <c r="C177" i="1"/>
  <c r="C175" i="3" s="1"/>
  <c r="B177" i="1"/>
  <c r="B175" i="3" s="1"/>
  <c r="K176" i="1"/>
  <c r="E176" i="1"/>
  <c r="C176" i="1"/>
  <c r="C174" i="3" s="1"/>
  <c r="B176" i="1"/>
  <c r="B174" i="3" s="1"/>
  <c r="K175" i="1"/>
  <c r="C175" i="1"/>
  <c r="C173" i="3" s="1"/>
  <c r="B175" i="1"/>
  <c r="B173" i="3" s="1"/>
  <c r="K174" i="1"/>
  <c r="B174" i="1"/>
  <c r="B172" i="3" s="1"/>
  <c r="K173" i="1"/>
  <c r="C173" i="1"/>
  <c r="C171" i="3" s="1"/>
  <c r="B173" i="1"/>
  <c r="B171" i="3" s="1"/>
  <c r="K172" i="1"/>
  <c r="C172" i="1"/>
  <c r="C170" i="3" s="1"/>
  <c r="B172" i="1"/>
  <c r="B170" i="3" s="1"/>
  <c r="K171" i="1"/>
  <c r="C171" i="1"/>
  <c r="C169" i="3" s="1"/>
  <c r="B171" i="1"/>
  <c r="B169" i="3" s="1"/>
  <c r="K170" i="1"/>
  <c r="C170" i="1"/>
  <c r="C168" i="3" s="1"/>
  <c r="B170" i="1"/>
  <c r="B168" i="3" s="1"/>
  <c r="K169" i="1"/>
  <c r="C169" i="1"/>
  <c r="C167" i="3" s="1"/>
  <c r="B169" i="1"/>
  <c r="B167" i="3" s="1"/>
  <c r="K168" i="1"/>
  <c r="C168" i="1"/>
  <c r="C166" i="3" s="1"/>
  <c r="B168" i="1"/>
  <c r="B166" i="3" s="1"/>
  <c r="K167" i="1"/>
  <c r="C167" i="1"/>
  <c r="C165" i="3" s="1"/>
  <c r="B167" i="1"/>
  <c r="B165" i="3" s="1"/>
  <c r="K166" i="1"/>
  <c r="C166" i="1"/>
  <c r="C164" i="3" s="1"/>
  <c r="B166" i="1"/>
  <c r="B164" i="3" s="1"/>
  <c r="K165" i="1"/>
  <c r="C165" i="1"/>
  <c r="C163" i="3" s="1"/>
  <c r="B165" i="1"/>
  <c r="B163" i="3" s="1"/>
  <c r="K164" i="1"/>
  <c r="C164" i="1"/>
  <c r="C162" i="3" s="1"/>
  <c r="B164" i="1"/>
  <c r="B162" i="3" s="1"/>
  <c r="K163" i="1"/>
  <c r="C163" i="1"/>
  <c r="C161" i="3" s="1"/>
  <c r="B163" i="1"/>
  <c r="B161" i="3" s="1"/>
  <c r="K162" i="1"/>
  <c r="C162" i="1"/>
  <c r="C160" i="3" s="1"/>
  <c r="B162" i="1"/>
  <c r="B160" i="3" s="1"/>
  <c r="K161" i="1"/>
  <c r="C161" i="1"/>
  <c r="C159" i="3" s="1"/>
  <c r="B161" i="1"/>
  <c r="B159" i="3" s="1"/>
  <c r="K160" i="1"/>
  <c r="C160" i="1"/>
  <c r="C158" i="3" s="1"/>
  <c r="B160" i="1"/>
  <c r="B158" i="3" s="1"/>
  <c r="K159" i="1"/>
  <c r="C159" i="1"/>
  <c r="C157" i="3" s="1"/>
  <c r="B159" i="1"/>
  <c r="B157" i="3" s="1"/>
  <c r="K158" i="1"/>
  <c r="C158" i="1"/>
  <c r="C156" i="3" s="1"/>
  <c r="B158" i="1"/>
  <c r="B156" i="3" s="1"/>
  <c r="K157" i="1"/>
  <c r="C157" i="1"/>
  <c r="C155" i="3" s="1"/>
  <c r="B157" i="1"/>
  <c r="B155" i="3" s="1"/>
  <c r="K156" i="1"/>
  <c r="C156" i="1"/>
  <c r="C154" i="3" s="1"/>
  <c r="B156" i="1"/>
  <c r="B154" i="3" s="1"/>
  <c r="K155" i="1"/>
  <c r="C155" i="1"/>
  <c r="C153" i="3" s="1"/>
  <c r="B155" i="1"/>
  <c r="B153" i="3" s="1"/>
  <c r="K154" i="1"/>
  <c r="C154" i="1"/>
  <c r="C152" i="3" s="1"/>
  <c r="B154" i="1"/>
  <c r="B152" i="3" s="1"/>
  <c r="K153" i="1"/>
  <c r="C153" i="1"/>
  <c r="C151" i="3" s="1"/>
  <c r="B153" i="1"/>
  <c r="B151" i="3" s="1"/>
  <c r="K152" i="1"/>
  <c r="C152" i="1"/>
  <c r="C150" i="3" s="1"/>
  <c r="B152" i="1"/>
  <c r="B150" i="3" s="1"/>
  <c r="K151" i="1"/>
  <c r="C151" i="1"/>
  <c r="C149" i="3" s="1"/>
  <c r="B151" i="1"/>
  <c r="B149" i="3" s="1"/>
  <c r="K150" i="1"/>
  <c r="C150" i="1"/>
  <c r="C148" i="3" s="1"/>
  <c r="B150" i="1"/>
  <c r="B148" i="3" s="1"/>
  <c r="K149" i="1"/>
  <c r="C149" i="1"/>
  <c r="C147" i="3" s="1"/>
  <c r="B149" i="1"/>
  <c r="B147" i="3" s="1"/>
  <c r="K148" i="1"/>
  <c r="C148" i="1"/>
  <c r="C146" i="3" s="1"/>
  <c r="B148" i="1"/>
  <c r="B146" i="3" s="1"/>
  <c r="K147" i="1"/>
  <c r="C147" i="1"/>
  <c r="C145" i="3" s="1"/>
  <c r="B147" i="1"/>
  <c r="B145" i="3" s="1"/>
  <c r="K146" i="1"/>
  <c r="C146" i="1"/>
  <c r="C144" i="3" s="1"/>
  <c r="B146" i="1"/>
  <c r="B144" i="3" s="1"/>
  <c r="K145" i="1"/>
  <c r="C145" i="1"/>
  <c r="C143" i="3" s="1"/>
  <c r="B145" i="1"/>
  <c r="B143" i="3" s="1"/>
  <c r="K144" i="1"/>
  <c r="C144" i="1"/>
  <c r="C142" i="3" s="1"/>
  <c r="B144" i="1"/>
  <c r="B142" i="3" s="1"/>
  <c r="K143" i="1"/>
  <c r="C143" i="1"/>
  <c r="C141" i="3" s="1"/>
  <c r="B143" i="1"/>
  <c r="B141" i="3" s="1"/>
  <c r="K142" i="1"/>
  <c r="C142" i="1"/>
  <c r="C140" i="3" s="1"/>
  <c r="B142" i="1"/>
  <c r="B140" i="3" s="1"/>
  <c r="K141" i="1"/>
  <c r="C141" i="1"/>
  <c r="C139" i="3" s="1"/>
  <c r="B141" i="1"/>
  <c r="B139" i="3" s="1"/>
  <c r="K140" i="1"/>
  <c r="C140" i="1"/>
  <c r="C138" i="3" s="1"/>
  <c r="B140" i="1"/>
  <c r="B138" i="3" s="1"/>
  <c r="K139" i="1"/>
  <c r="C139" i="1"/>
  <c r="C137" i="3" s="1"/>
  <c r="B139" i="1"/>
  <c r="B137" i="3" s="1"/>
  <c r="K138" i="1"/>
  <c r="C138" i="1"/>
  <c r="C136" i="3" s="1"/>
  <c r="B138" i="1"/>
  <c r="B136" i="3" s="1"/>
  <c r="K137" i="1"/>
  <c r="C137" i="1"/>
  <c r="C135" i="3" s="1"/>
  <c r="B137" i="1"/>
  <c r="B135" i="3" s="1"/>
  <c r="K136" i="1"/>
  <c r="C136" i="1"/>
  <c r="C134" i="3" s="1"/>
  <c r="B136" i="1"/>
  <c r="B134" i="3" s="1"/>
  <c r="K135" i="1"/>
  <c r="C135" i="1"/>
  <c r="C133" i="3" s="1"/>
  <c r="B135" i="1"/>
  <c r="B133" i="3" s="1"/>
  <c r="K134" i="1"/>
  <c r="C134" i="1"/>
  <c r="C132" i="3" s="1"/>
  <c r="B134" i="1"/>
  <c r="B132" i="3" s="1"/>
  <c r="K133" i="1"/>
  <c r="C133" i="1"/>
  <c r="C131" i="3" s="1"/>
  <c r="B133" i="1"/>
  <c r="B131" i="3" s="1"/>
  <c r="K132" i="1"/>
  <c r="C132" i="1"/>
  <c r="C130" i="3" s="1"/>
  <c r="B132" i="1"/>
  <c r="B130" i="3" s="1"/>
  <c r="K131" i="1"/>
  <c r="C131" i="1"/>
  <c r="C129" i="3" s="1"/>
  <c r="B131" i="1"/>
  <c r="B129" i="3" s="1"/>
  <c r="K130" i="1"/>
  <c r="C130" i="1"/>
  <c r="C128" i="3" s="1"/>
  <c r="B130" i="1"/>
  <c r="B128" i="3" s="1"/>
  <c r="K129" i="1"/>
  <c r="C129" i="1"/>
  <c r="C127" i="3" s="1"/>
  <c r="B129" i="1"/>
  <c r="B127" i="3" s="1"/>
  <c r="K128" i="1"/>
  <c r="C128" i="1"/>
  <c r="C126" i="3" s="1"/>
  <c r="B128" i="1"/>
  <c r="B126" i="3" s="1"/>
  <c r="K127" i="1"/>
  <c r="C127" i="1"/>
  <c r="C125" i="3" s="1"/>
  <c r="B127" i="1"/>
  <c r="B125" i="3" s="1"/>
  <c r="K126" i="1"/>
  <c r="C126" i="1"/>
  <c r="C124" i="3" s="1"/>
  <c r="B126" i="1"/>
  <c r="B124" i="3" s="1"/>
  <c r="K125" i="1"/>
  <c r="C125" i="1"/>
  <c r="C123" i="3" s="1"/>
  <c r="B125" i="1"/>
  <c r="B123" i="3" s="1"/>
  <c r="K124" i="1"/>
  <c r="K123" i="1"/>
  <c r="C123" i="1"/>
  <c r="C121" i="3" s="1"/>
  <c r="B123" i="1"/>
  <c r="B121" i="3" s="1"/>
  <c r="K122" i="1"/>
  <c r="C122" i="1"/>
  <c r="C120" i="3" s="1"/>
  <c r="B122" i="1"/>
  <c r="B120" i="3" s="1"/>
  <c r="K121" i="1"/>
  <c r="C121" i="1"/>
  <c r="C119" i="3" s="1"/>
  <c r="B121" i="1"/>
  <c r="B119" i="3" s="1"/>
  <c r="K120" i="1"/>
  <c r="B120" i="1"/>
  <c r="B118" i="3" s="1"/>
  <c r="K119" i="1"/>
  <c r="C119" i="1"/>
  <c r="C117" i="3" s="1"/>
  <c r="B119" i="1"/>
  <c r="B117" i="3" s="1"/>
  <c r="K118" i="1"/>
  <c r="C118" i="1"/>
  <c r="C116" i="3" s="1"/>
  <c r="B118" i="1"/>
  <c r="B116" i="3" s="1"/>
  <c r="K117" i="1"/>
  <c r="C117" i="1"/>
  <c r="C115" i="3" s="1"/>
  <c r="B117" i="1"/>
  <c r="B115" i="3" s="1"/>
  <c r="K116" i="1"/>
  <c r="C116" i="1"/>
  <c r="C114" i="3" s="1"/>
  <c r="B116" i="1"/>
  <c r="B114" i="3" s="1"/>
  <c r="K115" i="1"/>
  <c r="C115" i="1"/>
  <c r="C113" i="3" s="1"/>
  <c r="B115" i="1"/>
  <c r="B113" i="3" s="1"/>
  <c r="K114" i="1"/>
  <c r="C114" i="1"/>
  <c r="C112" i="3" s="1"/>
  <c r="B114" i="1"/>
  <c r="B112" i="3" s="1"/>
  <c r="K113" i="1"/>
  <c r="B113" i="1"/>
  <c r="B111" i="3" s="1"/>
  <c r="K112" i="1"/>
  <c r="C112" i="1"/>
  <c r="C110" i="3" s="1"/>
  <c r="B112" i="1"/>
  <c r="B110" i="3" s="1"/>
  <c r="K111" i="1"/>
  <c r="C111" i="1"/>
  <c r="C109" i="3" s="1"/>
  <c r="B111" i="1"/>
  <c r="B109" i="3" s="1"/>
  <c r="K110" i="1"/>
  <c r="C110" i="1"/>
  <c r="C108" i="3" s="1"/>
  <c r="B110" i="1"/>
  <c r="B108" i="3" s="1"/>
  <c r="K109" i="1"/>
  <c r="C109" i="1"/>
  <c r="C107" i="3" s="1"/>
  <c r="B109" i="1"/>
  <c r="B107" i="3" s="1"/>
  <c r="K108" i="1"/>
  <c r="C108" i="1"/>
  <c r="C106" i="3" s="1"/>
  <c r="B108" i="1"/>
  <c r="B106" i="3" s="1"/>
  <c r="K107" i="1"/>
  <c r="C107" i="1"/>
  <c r="C105" i="3" s="1"/>
  <c r="B107" i="1"/>
  <c r="B105" i="3" s="1"/>
  <c r="K106" i="1"/>
  <c r="C106" i="1"/>
  <c r="C104" i="3" s="1"/>
  <c r="B106" i="1"/>
  <c r="B104" i="3" s="1"/>
  <c r="K105" i="1"/>
  <c r="C105" i="1"/>
  <c r="C103" i="3" s="1"/>
  <c r="B105" i="1"/>
  <c r="B103" i="3" s="1"/>
  <c r="K104" i="1"/>
  <c r="C104" i="1"/>
  <c r="C102" i="3" s="1"/>
  <c r="B104" i="1"/>
  <c r="B102" i="3" s="1"/>
  <c r="K103" i="1"/>
  <c r="K102" i="1"/>
  <c r="C102" i="1"/>
  <c r="B102" i="1"/>
  <c r="K101" i="1"/>
  <c r="C101" i="1"/>
  <c r="C100" i="3" s="1"/>
  <c r="B101" i="1"/>
  <c r="B100" i="3" s="1"/>
  <c r="K100" i="1"/>
  <c r="C100" i="1"/>
  <c r="C99" i="3" s="1"/>
  <c r="B100" i="1"/>
  <c r="B99" i="3" s="1"/>
  <c r="K99" i="1"/>
  <c r="C99" i="1"/>
  <c r="C98" i="3" s="1"/>
  <c r="B99" i="1"/>
  <c r="B98" i="3" s="1"/>
  <c r="K98" i="1"/>
  <c r="C98" i="1"/>
  <c r="C97" i="3" s="1"/>
  <c r="B98" i="1"/>
  <c r="B97" i="3" s="1"/>
  <c r="K97" i="1"/>
  <c r="C97" i="1"/>
  <c r="C96" i="3" s="1"/>
  <c r="B97" i="1"/>
  <c r="B96" i="3" s="1"/>
  <c r="K96" i="1"/>
  <c r="C96" i="1"/>
  <c r="C95" i="3" s="1"/>
  <c r="B96" i="1"/>
  <c r="B95" i="3" s="1"/>
  <c r="K95" i="1"/>
  <c r="C95" i="1"/>
  <c r="C94" i="3" s="1"/>
  <c r="B95" i="1"/>
  <c r="B94" i="3" s="1"/>
  <c r="K94" i="1"/>
  <c r="C94" i="1"/>
  <c r="C93" i="3" s="1"/>
  <c r="B94" i="1"/>
  <c r="B93" i="3" s="1"/>
  <c r="K93" i="1"/>
  <c r="C93" i="1"/>
  <c r="C92" i="3" s="1"/>
  <c r="B93" i="1"/>
  <c r="B92" i="3" s="1"/>
  <c r="K92" i="1"/>
  <c r="C92" i="1"/>
  <c r="C91" i="3" s="1"/>
  <c r="B92" i="1"/>
  <c r="B91" i="3" s="1"/>
  <c r="K91" i="1"/>
  <c r="C91" i="1"/>
  <c r="C90" i="3" s="1"/>
  <c r="B91" i="1"/>
  <c r="B90" i="3" s="1"/>
  <c r="K90" i="1"/>
  <c r="C90" i="1"/>
  <c r="C89" i="3" s="1"/>
  <c r="B90" i="1"/>
  <c r="B89" i="3" s="1"/>
  <c r="K89" i="1"/>
  <c r="C89" i="1"/>
  <c r="C88" i="3" s="1"/>
  <c r="B89" i="1"/>
  <c r="B88" i="3" s="1"/>
  <c r="K88" i="1"/>
  <c r="C88" i="1"/>
  <c r="C87" i="3" s="1"/>
  <c r="B88" i="1"/>
  <c r="B87" i="3" s="1"/>
  <c r="K87" i="1"/>
  <c r="C87" i="1"/>
  <c r="C86" i="3" s="1"/>
  <c r="B87" i="1"/>
  <c r="B86" i="3" s="1"/>
  <c r="K86" i="1"/>
  <c r="C86" i="1"/>
  <c r="C85" i="3" s="1"/>
  <c r="B86" i="1"/>
  <c r="B85" i="3" s="1"/>
  <c r="K85" i="1"/>
  <c r="C85" i="1"/>
  <c r="C84" i="3" s="1"/>
  <c r="B85" i="1"/>
  <c r="B84" i="3" s="1"/>
  <c r="K84" i="1"/>
  <c r="C84" i="1"/>
  <c r="C83" i="3" s="1"/>
  <c r="B84" i="1"/>
  <c r="B83" i="3" s="1"/>
  <c r="K83" i="1"/>
  <c r="C83" i="1"/>
  <c r="C82" i="3" s="1"/>
  <c r="B83" i="1"/>
  <c r="B82" i="3" s="1"/>
  <c r="K82" i="1"/>
  <c r="C82" i="1"/>
  <c r="C81" i="3" s="1"/>
  <c r="B82" i="1"/>
  <c r="B81" i="3" s="1"/>
  <c r="K81" i="1"/>
  <c r="C81" i="1"/>
  <c r="C80" i="3" s="1"/>
  <c r="B81" i="1"/>
  <c r="B80" i="3" s="1"/>
  <c r="K80" i="1"/>
  <c r="C80" i="1"/>
  <c r="C79" i="3" s="1"/>
  <c r="B80" i="1"/>
  <c r="B79" i="3" s="1"/>
  <c r="K79" i="1"/>
  <c r="C79" i="1"/>
  <c r="C78" i="3" s="1"/>
  <c r="B79" i="1"/>
  <c r="B78" i="3" s="1"/>
  <c r="K78" i="1"/>
  <c r="C78" i="1"/>
  <c r="C77" i="3" s="1"/>
  <c r="B78" i="1"/>
  <c r="B77" i="3" s="1"/>
  <c r="K77" i="1"/>
  <c r="C77" i="1"/>
  <c r="C76" i="3" s="1"/>
  <c r="B77" i="1"/>
  <c r="B76" i="3" s="1"/>
  <c r="K76" i="1"/>
  <c r="C76" i="1"/>
  <c r="C75" i="3" s="1"/>
  <c r="B76" i="1"/>
  <c r="B75" i="3" s="1"/>
  <c r="K75" i="1"/>
  <c r="C75" i="1"/>
  <c r="C74" i="3" s="1"/>
  <c r="B75" i="1"/>
  <c r="B74" i="3" s="1"/>
  <c r="K74" i="1"/>
  <c r="C74" i="1"/>
  <c r="C73" i="3" s="1"/>
  <c r="B74" i="1"/>
  <c r="B73" i="3" s="1"/>
  <c r="K73" i="1"/>
  <c r="C73" i="1"/>
  <c r="C72" i="3" s="1"/>
  <c r="B73" i="1"/>
  <c r="B72" i="3" s="1"/>
  <c r="K72" i="1"/>
  <c r="C72" i="1"/>
  <c r="C71" i="3" s="1"/>
  <c r="B72" i="1"/>
  <c r="B71" i="3" s="1"/>
  <c r="K71" i="1"/>
  <c r="C71" i="1"/>
  <c r="C70" i="3" s="1"/>
  <c r="B71" i="1"/>
  <c r="B70" i="3" s="1"/>
  <c r="K70" i="1"/>
  <c r="C70" i="1"/>
  <c r="C69" i="3" s="1"/>
  <c r="B70" i="1"/>
  <c r="B69" i="3" s="1"/>
  <c r="K69" i="1"/>
  <c r="C69" i="1"/>
  <c r="C68" i="3" s="1"/>
  <c r="B69" i="1"/>
  <c r="B68" i="3" s="1"/>
  <c r="K68" i="1"/>
  <c r="C68" i="1"/>
  <c r="C67" i="3" s="1"/>
  <c r="B68" i="1"/>
  <c r="B67" i="3" s="1"/>
  <c r="K67" i="1"/>
  <c r="C67" i="1"/>
  <c r="C66" i="3" s="1"/>
  <c r="B67" i="1"/>
  <c r="B66" i="3" s="1"/>
  <c r="K66" i="1"/>
  <c r="E66" i="1"/>
  <c r="D66" i="1"/>
  <c r="K65" i="1"/>
  <c r="C65" i="1"/>
  <c r="C65" i="3" s="1"/>
  <c r="B65" i="1"/>
  <c r="B65" i="3" s="1"/>
  <c r="K64" i="1"/>
  <c r="C64" i="1"/>
  <c r="C64" i="3" s="1"/>
  <c r="B64" i="1"/>
  <c r="B64" i="3" s="1"/>
  <c r="K63" i="1"/>
  <c r="C63" i="1"/>
  <c r="C63" i="3" s="1"/>
  <c r="B63" i="1"/>
  <c r="B63" i="3" s="1"/>
  <c r="K62" i="1"/>
  <c r="C62" i="1"/>
  <c r="C62" i="3" s="1"/>
  <c r="B62" i="1"/>
  <c r="B62" i="3" s="1"/>
  <c r="K61" i="1"/>
  <c r="C61" i="1"/>
  <c r="C61" i="3" s="1"/>
  <c r="B61" i="1"/>
  <c r="B61" i="3" s="1"/>
  <c r="K60" i="1"/>
  <c r="C60" i="1"/>
  <c r="C60" i="3" s="1"/>
  <c r="B60" i="1"/>
  <c r="B60" i="3" s="1"/>
  <c r="K59" i="1"/>
  <c r="C59" i="1"/>
  <c r="C59" i="3" s="1"/>
  <c r="B59" i="1"/>
  <c r="B59" i="3" s="1"/>
  <c r="K58" i="1"/>
  <c r="C58" i="1"/>
  <c r="C58" i="3" s="1"/>
  <c r="B58" i="1"/>
  <c r="B58" i="3" s="1"/>
  <c r="K57" i="1"/>
  <c r="C57" i="1"/>
  <c r="C57" i="3" s="1"/>
  <c r="B57" i="1"/>
  <c r="B57" i="3" s="1"/>
  <c r="K56" i="1"/>
  <c r="C56" i="1"/>
  <c r="C56" i="3" s="1"/>
  <c r="B56" i="1"/>
  <c r="B56" i="3" s="1"/>
  <c r="K55" i="1"/>
  <c r="C55" i="1"/>
  <c r="C55" i="3" s="1"/>
  <c r="B55" i="1"/>
  <c r="B55" i="3" s="1"/>
  <c r="K54" i="1"/>
  <c r="C54" i="1"/>
  <c r="C54" i="3" s="1"/>
  <c r="B54" i="1"/>
  <c r="B54" i="3" s="1"/>
  <c r="K53" i="1"/>
  <c r="C53" i="1"/>
  <c r="C53" i="3" s="1"/>
  <c r="B53" i="1"/>
  <c r="B53" i="3" s="1"/>
  <c r="K52" i="1"/>
  <c r="C52" i="1"/>
  <c r="C52" i="3" s="1"/>
  <c r="B52" i="1"/>
  <c r="B52" i="3" s="1"/>
  <c r="K51" i="1"/>
  <c r="C51" i="1"/>
  <c r="C51" i="3" s="1"/>
  <c r="B51" i="1"/>
  <c r="B51" i="3" s="1"/>
  <c r="K50" i="1"/>
  <c r="C50" i="1"/>
  <c r="C50" i="3" s="1"/>
  <c r="B50" i="1"/>
  <c r="B50" i="3" s="1"/>
  <c r="K49" i="1"/>
  <c r="C49" i="1"/>
  <c r="C49" i="3" s="1"/>
  <c r="B49" i="1"/>
  <c r="B49" i="3" s="1"/>
  <c r="K48" i="1"/>
  <c r="C48" i="1"/>
  <c r="C48" i="3" s="1"/>
  <c r="B48" i="1"/>
  <c r="B48" i="3" s="1"/>
  <c r="K47" i="1"/>
  <c r="C47" i="1"/>
  <c r="C47" i="3" s="1"/>
  <c r="B47" i="1"/>
  <c r="B47" i="3" s="1"/>
  <c r="K46" i="1"/>
  <c r="C46" i="1"/>
  <c r="C46" i="3" s="1"/>
  <c r="B46" i="1"/>
  <c r="B46" i="3" s="1"/>
  <c r="K45" i="1"/>
  <c r="C45" i="1"/>
  <c r="C45" i="3" s="1"/>
  <c r="B45" i="1"/>
  <c r="B45" i="3" s="1"/>
  <c r="K44" i="1"/>
  <c r="C44" i="1"/>
  <c r="C44" i="3" s="1"/>
  <c r="B44" i="1"/>
  <c r="B44" i="3" s="1"/>
  <c r="K43" i="1"/>
  <c r="K42" i="1"/>
  <c r="K41" i="1"/>
  <c r="C41" i="1"/>
  <c r="C41" i="3" s="1"/>
  <c r="B41" i="1"/>
  <c r="B41" i="3" s="1"/>
  <c r="K40" i="1"/>
  <c r="C40" i="1"/>
  <c r="C40" i="3" s="1"/>
  <c r="B40" i="1"/>
  <c r="B40" i="3" s="1"/>
  <c r="K39" i="1"/>
  <c r="C39" i="1"/>
  <c r="C39" i="3" s="1"/>
  <c r="B39" i="1"/>
  <c r="B39" i="3" s="1"/>
  <c r="K38" i="1"/>
  <c r="C38" i="1"/>
  <c r="C38" i="3" s="1"/>
  <c r="B38" i="1"/>
  <c r="B38" i="3" s="1"/>
  <c r="K37" i="1"/>
  <c r="C37" i="1"/>
  <c r="C37" i="3" s="1"/>
  <c r="B37" i="1"/>
  <c r="B37" i="3" s="1"/>
  <c r="K36" i="1"/>
  <c r="B36" i="1"/>
  <c r="B36" i="3" s="1"/>
  <c r="K35" i="1"/>
  <c r="C35" i="1"/>
  <c r="C35" i="3" s="1"/>
  <c r="B35" i="1"/>
  <c r="B35" i="3" s="1"/>
  <c r="K34" i="1"/>
  <c r="C34" i="1"/>
  <c r="C34" i="3" s="1"/>
  <c r="B34" i="1"/>
  <c r="B34" i="3" s="1"/>
  <c r="K33" i="1"/>
  <c r="C33" i="1"/>
  <c r="C33" i="3" s="1"/>
  <c r="B33" i="1"/>
  <c r="B33" i="3" s="1"/>
  <c r="K32" i="1"/>
  <c r="K31" i="1"/>
  <c r="B31" i="1"/>
  <c r="B31" i="3" s="1"/>
  <c r="K30" i="1"/>
  <c r="C30" i="1"/>
  <c r="C30" i="3" s="1"/>
  <c r="B30" i="1"/>
  <c r="B30" i="3" s="1"/>
  <c r="K29" i="1"/>
  <c r="C29" i="1"/>
  <c r="C29" i="3" s="1"/>
  <c r="B29" i="1"/>
  <c r="B29" i="3" s="1"/>
  <c r="K28" i="1"/>
  <c r="C28" i="1"/>
  <c r="C28" i="3" s="1"/>
  <c r="B28" i="1"/>
  <c r="B28" i="3" s="1"/>
  <c r="K27" i="1"/>
  <c r="C27" i="1"/>
  <c r="C27" i="3" s="1"/>
  <c r="B27" i="1"/>
  <c r="B27" i="3" s="1"/>
  <c r="K26" i="1"/>
  <c r="C26" i="1"/>
  <c r="C26" i="3" s="1"/>
  <c r="B26" i="1"/>
  <c r="B26" i="3" s="1"/>
  <c r="K25" i="1"/>
  <c r="C25" i="1"/>
  <c r="C25" i="3" s="1"/>
  <c r="B25" i="1"/>
  <c r="B25" i="3" s="1"/>
  <c r="K24" i="1"/>
  <c r="C24" i="1"/>
  <c r="C24" i="3" s="1"/>
  <c r="B24" i="1"/>
  <c r="B24" i="3" s="1"/>
  <c r="K23" i="1"/>
  <c r="C23" i="1"/>
  <c r="C23" i="3" s="1"/>
  <c r="B23" i="1"/>
  <c r="B23" i="3" s="1"/>
  <c r="K22" i="1"/>
  <c r="C22" i="1"/>
  <c r="C22" i="3" s="1"/>
  <c r="B22" i="1"/>
  <c r="B22" i="3" s="1"/>
  <c r="K21" i="1"/>
  <c r="C21" i="1"/>
  <c r="C21" i="3" s="1"/>
  <c r="B21" i="1"/>
  <c r="B21" i="3" s="1"/>
  <c r="K20" i="1"/>
  <c r="C20" i="1"/>
  <c r="C20" i="3" s="1"/>
  <c r="B20" i="1"/>
  <c r="B20" i="3" s="1"/>
  <c r="K19" i="1"/>
  <c r="C19" i="1"/>
  <c r="C19" i="3" s="1"/>
  <c r="B19" i="1"/>
  <c r="B19" i="3" s="1"/>
  <c r="K18" i="1"/>
  <c r="C18" i="1"/>
  <c r="C18" i="3" s="1"/>
  <c r="B18" i="1"/>
  <c r="B18" i="3" s="1"/>
  <c r="K17" i="1"/>
  <c r="C17" i="1"/>
  <c r="C17" i="3" s="1"/>
  <c r="B17" i="1"/>
  <c r="B17" i="3" s="1"/>
  <c r="K16" i="1"/>
  <c r="C16" i="1"/>
  <c r="C16" i="3" s="1"/>
  <c r="B16" i="1"/>
  <c r="B16" i="3" s="1"/>
  <c r="K15" i="1"/>
  <c r="C15" i="1"/>
  <c r="C15" i="3" s="1"/>
  <c r="B15" i="1"/>
  <c r="B15" i="3" s="1"/>
  <c r="K14" i="1"/>
  <c r="C14" i="1"/>
  <c r="C14" i="3" s="1"/>
  <c r="B14" i="1"/>
  <c r="B14" i="3" s="1"/>
  <c r="K13" i="1"/>
  <c r="C13" i="1"/>
  <c r="C13" i="3" s="1"/>
  <c r="B13" i="1"/>
  <c r="B13" i="3" s="1"/>
  <c r="K12" i="1"/>
  <c r="C12" i="1"/>
  <c r="C12" i="3" s="1"/>
  <c r="B12" i="1"/>
  <c r="B12" i="3" s="1"/>
  <c r="K11" i="1"/>
  <c r="C11" i="1"/>
  <c r="C11" i="3" s="1"/>
  <c r="B11" i="1"/>
  <c r="B11" i="3" s="1"/>
  <c r="K10" i="1"/>
  <c r="K9" i="1"/>
  <c r="K8" i="1"/>
  <c r="C8" i="1"/>
  <c r="C8" i="3" s="1"/>
  <c r="B8" i="1"/>
  <c r="B8" i="3" s="1"/>
  <c r="K7" i="1"/>
  <c r="C7" i="1"/>
  <c r="C7" i="3" s="1"/>
  <c r="B7" i="1"/>
  <c r="B7" i="3" s="1"/>
  <c r="K6" i="1"/>
  <c r="C6" i="1"/>
  <c r="C6" i="3" s="1"/>
  <c r="B6" i="1"/>
  <c r="B6" i="3" s="1"/>
  <c r="K5" i="1"/>
  <c r="C5" i="1"/>
  <c r="C5" i="3" s="1"/>
  <c r="B5" i="1"/>
  <c r="B5" i="3" s="1"/>
  <c r="K4" i="1"/>
  <c r="C4" i="1"/>
  <c r="C4" i="3" s="1"/>
  <c r="B4" i="1"/>
  <c r="B4" i="3" s="1"/>
  <c r="K3" i="1"/>
  <c r="C3" i="1"/>
  <c r="C3" i="3" s="1"/>
  <c r="B3" i="1"/>
  <c r="B3" i="3" s="1"/>
  <c r="K180" i="2"/>
  <c r="E180" i="2"/>
  <c r="E186" i="1" s="1"/>
  <c r="E184" i="3" s="1"/>
  <c r="D180" i="2"/>
  <c r="D186" i="1" s="1"/>
  <c r="D184" i="3" s="1"/>
  <c r="C180" i="2"/>
  <c r="B180" i="2"/>
  <c r="K179" i="2"/>
  <c r="D179" i="2"/>
  <c r="D185" i="1" s="1"/>
  <c r="D183" i="3" s="1"/>
  <c r="C179" i="2"/>
  <c r="B179" i="2"/>
  <c r="K178" i="2"/>
  <c r="E178" i="2"/>
  <c r="E184" i="1" s="1"/>
  <c r="E182" i="3" s="1"/>
  <c r="D178" i="2"/>
  <c r="D184" i="1" s="1"/>
  <c r="D182" i="3" s="1"/>
  <c r="C178" i="2"/>
  <c r="B178" i="2"/>
  <c r="K177" i="2"/>
  <c r="E177" i="2"/>
  <c r="E183" i="1" s="1"/>
  <c r="E181" i="3" s="1"/>
  <c r="D177" i="2"/>
  <c r="D183" i="1" s="1"/>
  <c r="D181" i="3" s="1"/>
  <c r="C177" i="2"/>
  <c r="B177" i="2"/>
  <c r="K176" i="2"/>
  <c r="E176" i="2"/>
  <c r="E182" i="1" s="1"/>
  <c r="E180" i="3" s="1"/>
  <c r="D176" i="2"/>
  <c r="D182" i="1" s="1"/>
  <c r="D180" i="3" s="1"/>
  <c r="C176" i="2"/>
  <c r="B176" i="2"/>
  <c r="K175" i="2"/>
  <c r="E175" i="2"/>
  <c r="E181" i="1" s="1"/>
  <c r="E179" i="3" s="1"/>
  <c r="D175" i="2"/>
  <c r="D181" i="1" s="1"/>
  <c r="D179" i="3" s="1"/>
  <c r="C175" i="2"/>
  <c r="B175" i="2"/>
  <c r="K174" i="2"/>
  <c r="E174" i="2"/>
  <c r="E180" i="1" s="1"/>
  <c r="E178" i="3" s="1"/>
  <c r="D174" i="2"/>
  <c r="D180" i="1" s="1"/>
  <c r="D178" i="3" s="1"/>
  <c r="C174" i="2"/>
  <c r="B174" i="2"/>
  <c r="K173" i="2"/>
  <c r="E173" i="2"/>
  <c r="E179" i="1" s="1"/>
  <c r="E177" i="3" s="1"/>
  <c r="D173" i="2"/>
  <c r="D179" i="1" s="1"/>
  <c r="D177" i="3" s="1"/>
  <c r="C173" i="2"/>
  <c r="B173" i="2"/>
  <c r="K172" i="2"/>
  <c r="E172" i="2"/>
  <c r="E178" i="1" s="1"/>
  <c r="E176" i="3" s="1"/>
  <c r="D172" i="2"/>
  <c r="D178" i="1" s="1"/>
  <c r="D176" i="3" s="1"/>
  <c r="C172" i="2"/>
  <c r="B172" i="2"/>
  <c r="K171" i="2"/>
  <c r="E171" i="2"/>
  <c r="E177" i="1" s="1"/>
  <c r="E175" i="3" s="1"/>
  <c r="D171" i="2"/>
  <c r="D177" i="1" s="1"/>
  <c r="D175" i="3" s="1"/>
  <c r="C171" i="2"/>
  <c r="B171" i="2"/>
  <c r="K170" i="2"/>
  <c r="D170" i="2"/>
  <c r="D176" i="1" s="1"/>
  <c r="D174" i="3" s="1"/>
  <c r="C170" i="2"/>
  <c r="B170" i="2"/>
  <c r="K169" i="2"/>
  <c r="E169" i="2"/>
  <c r="E175" i="1" s="1"/>
  <c r="E173" i="3" s="1"/>
  <c r="D169" i="2"/>
  <c r="D175" i="1" s="1"/>
  <c r="D173" i="3" s="1"/>
  <c r="C169" i="2"/>
  <c r="B169" i="2"/>
  <c r="K168" i="2"/>
  <c r="E168" i="2"/>
  <c r="E174" i="1" s="1"/>
  <c r="E172" i="3" s="1"/>
  <c r="D168" i="2"/>
  <c r="D174" i="1" s="1"/>
  <c r="D172" i="3" s="1"/>
  <c r="B168" i="2"/>
  <c r="K167" i="2"/>
  <c r="E167" i="2"/>
  <c r="E173" i="1" s="1"/>
  <c r="E171" i="3" s="1"/>
  <c r="D167" i="2"/>
  <c r="D173" i="1" s="1"/>
  <c r="D171" i="3" s="1"/>
  <c r="C167" i="2"/>
  <c r="B167" i="2"/>
  <c r="K166" i="2"/>
  <c r="E166" i="2"/>
  <c r="E172" i="1" s="1"/>
  <c r="E170" i="3" s="1"/>
  <c r="D166" i="2"/>
  <c r="D172" i="1" s="1"/>
  <c r="D170" i="3" s="1"/>
  <c r="C166" i="2"/>
  <c r="B166" i="2"/>
  <c r="K165" i="2"/>
  <c r="E165" i="2"/>
  <c r="E171" i="1" s="1"/>
  <c r="E169" i="3" s="1"/>
  <c r="D165" i="2"/>
  <c r="D171" i="1" s="1"/>
  <c r="D169" i="3" s="1"/>
  <c r="C165" i="2"/>
  <c r="B165" i="2"/>
  <c r="K164" i="2"/>
  <c r="E164" i="2"/>
  <c r="E170" i="1" s="1"/>
  <c r="E168" i="3" s="1"/>
  <c r="D164" i="2"/>
  <c r="D170" i="1" s="1"/>
  <c r="D168" i="3" s="1"/>
  <c r="C164" i="2"/>
  <c r="B164" i="2"/>
  <c r="K163" i="2"/>
  <c r="E163" i="2"/>
  <c r="E169" i="1" s="1"/>
  <c r="E167" i="3" s="1"/>
  <c r="D163" i="2"/>
  <c r="D169" i="1" s="1"/>
  <c r="D167" i="3" s="1"/>
  <c r="C163" i="2"/>
  <c r="B163" i="2"/>
  <c r="K162" i="2"/>
  <c r="E162" i="2"/>
  <c r="E168" i="1" s="1"/>
  <c r="E166" i="3" s="1"/>
  <c r="D162" i="2"/>
  <c r="D168" i="1" s="1"/>
  <c r="D166" i="3" s="1"/>
  <c r="C162" i="2"/>
  <c r="B162" i="2"/>
  <c r="K161" i="2"/>
  <c r="E161" i="2"/>
  <c r="E167" i="1" s="1"/>
  <c r="E165" i="3" s="1"/>
  <c r="D161" i="2"/>
  <c r="D167" i="1" s="1"/>
  <c r="D165" i="3" s="1"/>
  <c r="C161" i="2"/>
  <c r="B161" i="2"/>
  <c r="K160" i="2"/>
  <c r="E160" i="2"/>
  <c r="E166" i="1" s="1"/>
  <c r="E164" i="3" s="1"/>
  <c r="D160" i="2"/>
  <c r="D166" i="1" s="1"/>
  <c r="D164" i="3" s="1"/>
  <c r="C160" i="2"/>
  <c r="B160" i="2"/>
  <c r="K159" i="2"/>
  <c r="E159" i="2"/>
  <c r="E165" i="1" s="1"/>
  <c r="E163" i="3" s="1"/>
  <c r="D159" i="2"/>
  <c r="D165" i="1" s="1"/>
  <c r="D163" i="3" s="1"/>
  <c r="C159" i="2"/>
  <c r="B159" i="2"/>
  <c r="K158" i="2"/>
  <c r="E158" i="2"/>
  <c r="E164" i="1" s="1"/>
  <c r="E162" i="3" s="1"/>
  <c r="D158" i="2"/>
  <c r="D164" i="1" s="1"/>
  <c r="D162" i="3" s="1"/>
  <c r="C158" i="2"/>
  <c r="B158" i="2"/>
  <c r="K157" i="2"/>
  <c r="E157" i="2"/>
  <c r="E163" i="1" s="1"/>
  <c r="E161" i="3" s="1"/>
  <c r="D157" i="2"/>
  <c r="D163" i="1" s="1"/>
  <c r="D161" i="3" s="1"/>
  <c r="C157" i="2"/>
  <c r="B157" i="2"/>
  <c r="K156" i="2"/>
  <c r="E156" i="2"/>
  <c r="E162" i="1" s="1"/>
  <c r="E160" i="3" s="1"/>
  <c r="D156" i="2"/>
  <c r="D162" i="1" s="1"/>
  <c r="D160" i="3" s="1"/>
  <c r="C156" i="2"/>
  <c r="B156" i="2"/>
  <c r="K155" i="2"/>
  <c r="E155" i="2"/>
  <c r="E161" i="1" s="1"/>
  <c r="E159" i="3" s="1"/>
  <c r="D155" i="2"/>
  <c r="D161" i="1" s="1"/>
  <c r="D159" i="3" s="1"/>
  <c r="C155" i="2"/>
  <c r="B155" i="2"/>
  <c r="K154" i="2"/>
  <c r="E154" i="2"/>
  <c r="E160" i="1" s="1"/>
  <c r="E158" i="3" s="1"/>
  <c r="D154" i="2"/>
  <c r="D160" i="1" s="1"/>
  <c r="D158" i="3" s="1"/>
  <c r="C154" i="2"/>
  <c r="B154" i="2"/>
  <c r="K153" i="2"/>
  <c r="E153" i="2"/>
  <c r="E159" i="1" s="1"/>
  <c r="E157" i="3" s="1"/>
  <c r="D153" i="2"/>
  <c r="D159" i="1" s="1"/>
  <c r="D157" i="3" s="1"/>
  <c r="C153" i="2"/>
  <c r="B153" i="2"/>
  <c r="K152" i="2"/>
  <c r="E152" i="2"/>
  <c r="E158" i="1" s="1"/>
  <c r="E156" i="3" s="1"/>
  <c r="D152" i="2"/>
  <c r="D158" i="1" s="1"/>
  <c r="D156" i="3" s="1"/>
  <c r="C152" i="2"/>
  <c r="B152" i="2"/>
  <c r="K151" i="2"/>
  <c r="E151" i="2"/>
  <c r="E157" i="1" s="1"/>
  <c r="E155" i="3" s="1"/>
  <c r="D151" i="2"/>
  <c r="D157" i="1" s="1"/>
  <c r="D155" i="3" s="1"/>
  <c r="C151" i="2"/>
  <c r="B151" i="2"/>
  <c r="K150" i="2"/>
  <c r="E150" i="2"/>
  <c r="E156" i="1" s="1"/>
  <c r="E154" i="3" s="1"/>
  <c r="D150" i="2"/>
  <c r="D156" i="1" s="1"/>
  <c r="D154" i="3" s="1"/>
  <c r="C150" i="2"/>
  <c r="B150" i="2"/>
  <c r="K149" i="2"/>
  <c r="E149" i="2"/>
  <c r="E155" i="1" s="1"/>
  <c r="E153" i="3" s="1"/>
  <c r="D149" i="2"/>
  <c r="D155" i="1" s="1"/>
  <c r="D153" i="3" s="1"/>
  <c r="C149" i="2"/>
  <c r="B149" i="2"/>
  <c r="K148" i="2"/>
  <c r="E148" i="2"/>
  <c r="E154" i="1" s="1"/>
  <c r="E152" i="3" s="1"/>
  <c r="D148" i="2"/>
  <c r="D154" i="1" s="1"/>
  <c r="D152" i="3" s="1"/>
  <c r="C148" i="2"/>
  <c r="B148" i="2"/>
  <c r="K147" i="2"/>
  <c r="E147" i="2"/>
  <c r="E153" i="1" s="1"/>
  <c r="E151" i="3" s="1"/>
  <c r="D147" i="2"/>
  <c r="D153" i="1" s="1"/>
  <c r="D151" i="3" s="1"/>
  <c r="C147" i="2"/>
  <c r="B147" i="2"/>
  <c r="K146" i="2"/>
  <c r="E146" i="2"/>
  <c r="E152" i="1" s="1"/>
  <c r="E150" i="3" s="1"/>
  <c r="D146" i="2"/>
  <c r="D152" i="1" s="1"/>
  <c r="D150" i="3" s="1"/>
  <c r="C146" i="2"/>
  <c r="B146" i="2"/>
  <c r="K145" i="2"/>
  <c r="E145" i="2"/>
  <c r="E151" i="1" s="1"/>
  <c r="E149" i="3" s="1"/>
  <c r="D145" i="2"/>
  <c r="D151" i="1" s="1"/>
  <c r="D149" i="3" s="1"/>
  <c r="C145" i="2"/>
  <c r="B145" i="2"/>
  <c r="K144" i="2"/>
  <c r="E144" i="2"/>
  <c r="E150" i="1" s="1"/>
  <c r="E148" i="3" s="1"/>
  <c r="D144" i="2"/>
  <c r="D150" i="1" s="1"/>
  <c r="D148" i="3" s="1"/>
  <c r="C144" i="2"/>
  <c r="B144" i="2"/>
  <c r="K143" i="2"/>
  <c r="E143" i="2"/>
  <c r="E149" i="1" s="1"/>
  <c r="E147" i="3" s="1"/>
  <c r="D143" i="2"/>
  <c r="D149" i="1" s="1"/>
  <c r="D147" i="3" s="1"/>
  <c r="C143" i="2"/>
  <c r="B143" i="2"/>
  <c r="K142" i="2"/>
  <c r="E142" i="2"/>
  <c r="E148" i="1" s="1"/>
  <c r="E146" i="3" s="1"/>
  <c r="D142" i="2"/>
  <c r="D148" i="1" s="1"/>
  <c r="D146" i="3" s="1"/>
  <c r="C142" i="2"/>
  <c r="B142" i="2"/>
  <c r="K141" i="2"/>
  <c r="E141" i="2"/>
  <c r="E147" i="1" s="1"/>
  <c r="E145" i="3" s="1"/>
  <c r="D141" i="2"/>
  <c r="D147" i="1" s="1"/>
  <c r="D145" i="3" s="1"/>
  <c r="C141" i="2"/>
  <c r="B141" i="2"/>
  <c r="K140" i="2"/>
  <c r="E140" i="2"/>
  <c r="E146" i="1" s="1"/>
  <c r="E144" i="3" s="1"/>
  <c r="D140" i="2"/>
  <c r="D146" i="1" s="1"/>
  <c r="D144" i="3" s="1"/>
  <c r="C140" i="2"/>
  <c r="B140" i="2"/>
  <c r="K139" i="2"/>
  <c r="E139" i="2"/>
  <c r="E145" i="1" s="1"/>
  <c r="E143" i="3" s="1"/>
  <c r="D139" i="2"/>
  <c r="D145" i="1" s="1"/>
  <c r="D143" i="3" s="1"/>
  <c r="C139" i="2"/>
  <c r="B139" i="2"/>
  <c r="K138" i="2"/>
  <c r="E138" i="2"/>
  <c r="E144" i="1" s="1"/>
  <c r="E142" i="3" s="1"/>
  <c r="D138" i="2"/>
  <c r="D144" i="1" s="1"/>
  <c r="D142" i="3" s="1"/>
  <c r="C138" i="2"/>
  <c r="B138" i="2"/>
  <c r="K137" i="2"/>
  <c r="E137" i="2"/>
  <c r="E143" i="1" s="1"/>
  <c r="E141" i="3" s="1"/>
  <c r="D137" i="2"/>
  <c r="D143" i="1" s="1"/>
  <c r="D141" i="3" s="1"/>
  <c r="C137" i="2"/>
  <c r="B137" i="2"/>
  <c r="K136" i="2"/>
  <c r="E136" i="2"/>
  <c r="E142" i="1" s="1"/>
  <c r="E140" i="3" s="1"/>
  <c r="D136" i="2"/>
  <c r="D142" i="1" s="1"/>
  <c r="D140" i="3" s="1"/>
  <c r="C136" i="2"/>
  <c r="B136" i="2"/>
  <c r="K135" i="2"/>
  <c r="E135" i="2"/>
  <c r="E141" i="1" s="1"/>
  <c r="E139" i="3" s="1"/>
  <c r="D135" i="2"/>
  <c r="D141" i="1" s="1"/>
  <c r="D139" i="3" s="1"/>
  <c r="C135" i="2"/>
  <c r="B135" i="2"/>
  <c r="K134" i="2"/>
  <c r="E134" i="2"/>
  <c r="E140" i="1" s="1"/>
  <c r="E138" i="3" s="1"/>
  <c r="D134" i="2"/>
  <c r="D140" i="1" s="1"/>
  <c r="D138" i="3" s="1"/>
  <c r="C134" i="2"/>
  <c r="B134" i="2"/>
  <c r="K133" i="2"/>
  <c r="E133" i="2"/>
  <c r="E139" i="1" s="1"/>
  <c r="E137" i="3" s="1"/>
  <c r="D133" i="2"/>
  <c r="D139" i="1" s="1"/>
  <c r="D137" i="3" s="1"/>
  <c r="C133" i="2"/>
  <c r="B133" i="2"/>
  <c r="K132" i="2"/>
  <c r="E132" i="2"/>
  <c r="E138" i="1" s="1"/>
  <c r="E136" i="3" s="1"/>
  <c r="D132" i="2"/>
  <c r="D138" i="1" s="1"/>
  <c r="D136" i="3" s="1"/>
  <c r="C132" i="2"/>
  <c r="B132" i="2"/>
  <c r="K131" i="2"/>
  <c r="E131" i="2"/>
  <c r="E137" i="1" s="1"/>
  <c r="E135" i="3" s="1"/>
  <c r="D131" i="2"/>
  <c r="D137" i="1" s="1"/>
  <c r="D135" i="3" s="1"/>
  <c r="C131" i="2"/>
  <c r="B131" i="2"/>
  <c r="K130" i="2"/>
  <c r="E130" i="2"/>
  <c r="E136" i="1" s="1"/>
  <c r="E134" i="3" s="1"/>
  <c r="D130" i="2"/>
  <c r="D136" i="1" s="1"/>
  <c r="D134" i="3" s="1"/>
  <c r="C130" i="2"/>
  <c r="B130" i="2"/>
  <c r="K129" i="2"/>
  <c r="E129" i="2"/>
  <c r="E135" i="1" s="1"/>
  <c r="E133" i="3" s="1"/>
  <c r="D129" i="2"/>
  <c r="D135" i="1" s="1"/>
  <c r="D133" i="3" s="1"/>
  <c r="C129" i="2"/>
  <c r="B129" i="2"/>
  <c r="K128" i="2"/>
  <c r="E128" i="2"/>
  <c r="E134" i="1" s="1"/>
  <c r="E132" i="3" s="1"/>
  <c r="D128" i="2"/>
  <c r="D134" i="1" s="1"/>
  <c r="D132" i="3" s="1"/>
  <c r="C128" i="2"/>
  <c r="B128" i="2"/>
  <c r="K127" i="2"/>
  <c r="E127" i="2"/>
  <c r="E133" i="1" s="1"/>
  <c r="E131" i="3" s="1"/>
  <c r="D127" i="2"/>
  <c r="D133" i="1" s="1"/>
  <c r="D131" i="3" s="1"/>
  <c r="C127" i="2"/>
  <c r="B127" i="2"/>
  <c r="K126" i="2"/>
  <c r="E126" i="2"/>
  <c r="E132" i="1" s="1"/>
  <c r="E130" i="3" s="1"/>
  <c r="D126" i="2"/>
  <c r="D132" i="1" s="1"/>
  <c r="D130" i="3" s="1"/>
  <c r="C126" i="2"/>
  <c r="B126" i="2"/>
  <c r="K125" i="2"/>
  <c r="E125" i="2"/>
  <c r="E131" i="1" s="1"/>
  <c r="E129" i="3" s="1"/>
  <c r="D125" i="2"/>
  <c r="D131" i="1" s="1"/>
  <c r="D129" i="3" s="1"/>
  <c r="C125" i="2"/>
  <c r="B125" i="2"/>
  <c r="K124" i="2"/>
  <c r="E124" i="2"/>
  <c r="E130" i="1" s="1"/>
  <c r="E128" i="3" s="1"/>
  <c r="D124" i="2"/>
  <c r="D130" i="1" s="1"/>
  <c r="D128" i="3" s="1"/>
  <c r="C124" i="2"/>
  <c r="B124" i="2"/>
  <c r="K123" i="2"/>
  <c r="E123" i="2"/>
  <c r="E129" i="1" s="1"/>
  <c r="E127" i="3" s="1"/>
  <c r="D123" i="2"/>
  <c r="D129" i="1" s="1"/>
  <c r="D127" i="3" s="1"/>
  <c r="C123" i="2"/>
  <c r="B123" i="2"/>
  <c r="K122" i="2"/>
  <c r="E122" i="2"/>
  <c r="E128" i="1" s="1"/>
  <c r="E126" i="3" s="1"/>
  <c r="D122" i="2"/>
  <c r="D128" i="1" s="1"/>
  <c r="D126" i="3" s="1"/>
  <c r="C122" i="2"/>
  <c r="B122" i="2"/>
  <c r="K121" i="2"/>
  <c r="E121" i="2"/>
  <c r="E127" i="1" s="1"/>
  <c r="E125" i="3" s="1"/>
  <c r="D121" i="2"/>
  <c r="D127" i="1" s="1"/>
  <c r="D125" i="3" s="1"/>
  <c r="C121" i="2"/>
  <c r="B121" i="2"/>
  <c r="K120" i="2"/>
  <c r="E120" i="2"/>
  <c r="E126" i="1" s="1"/>
  <c r="E124" i="3" s="1"/>
  <c r="D120" i="2"/>
  <c r="D126" i="1" s="1"/>
  <c r="D124" i="3" s="1"/>
  <c r="C120" i="2"/>
  <c r="B120" i="2"/>
  <c r="K119" i="2"/>
  <c r="E119" i="2"/>
  <c r="E125" i="1" s="1"/>
  <c r="E123" i="3" s="1"/>
  <c r="D119" i="2"/>
  <c r="D125" i="1" s="1"/>
  <c r="D123" i="3" s="1"/>
  <c r="C119" i="2"/>
  <c r="B119" i="2"/>
  <c r="K118" i="2"/>
  <c r="E118" i="2"/>
  <c r="E123" i="1" s="1"/>
  <c r="E121" i="3" s="1"/>
  <c r="D118" i="2"/>
  <c r="D123" i="1" s="1"/>
  <c r="D121" i="3" s="1"/>
  <c r="C118" i="2"/>
  <c r="B118" i="2"/>
  <c r="K117" i="2"/>
  <c r="E117" i="2"/>
  <c r="E122" i="1" s="1"/>
  <c r="E120" i="3" s="1"/>
  <c r="D117" i="2"/>
  <c r="D122" i="1" s="1"/>
  <c r="D120" i="3" s="1"/>
  <c r="C117" i="2"/>
  <c r="B117" i="2"/>
  <c r="K116" i="2"/>
  <c r="E116" i="2"/>
  <c r="E121" i="1" s="1"/>
  <c r="E119" i="3" s="1"/>
  <c r="D116" i="2"/>
  <c r="D121" i="1" s="1"/>
  <c r="D119" i="3" s="1"/>
  <c r="C116" i="2"/>
  <c r="B116" i="2"/>
  <c r="K115" i="2"/>
  <c r="E115" i="2"/>
  <c r="E120" i="1" s="1"/>
  <c r="E118" i="3" s="1"/>
  <c r="D115" i="2"/>
  <c r="D120" i="1" s="1"/>
  <c r="D118" i="3" s="1"/>
  <c r="B115" i="2"/>
  <c r="K114" i="2"/>
  <c r="D114" i="2"/>
  <c r="D119" i="1" s="1"/>
  <c r="D117" i="3" s="1"/>
  <c r="C114" i="2"/>
  <c r="B114" i="2"/>
  <c r="K113" i="2"/>
  <c r="D113" i="2"/>
  <c r="D118" i="1" s="1"/>
  <c r="D116" i="3" s="1"/>
  <c r="C113" i="2"/>
  <c r="B113" i="2"/>
  <c r="K112" i="2"/>
  <c r="E112" i="2"/>
  <c r="E117" i="1" s="1"/>
  <c r="E115" i="3" s="1"/>
  <c r="D112" i="2"/>
  <c r="D117" i="1" s="1"/>
  <c r="D115" i="3" s="1"/>
  <c r="C112" i="2"/>
  <c r="B112" i="2"/>
  <c r="K111" i="2"/>
  <c r="E111" i="2"/>
  <c r="E116" i="1" s="1"/>
  <c r="E114" i="3" s="1"/>
  <c r="D111" i="2"/>
  <c r="D116" i="1" s="1"/>
  <c r="D114" i="3" s="1"/>
  <c r="C111" i="2"/>
  <c r="B111" i="2"/>
  <c r="K110" i="2"/>
  <c r="E110" i="2"/>
  <c r="E115" i="1" s="1"/>
  <c r="E113" i="3" s="1"/>
  <c r="D110" i="2"/>
  <c r="D115" i="1" s="1"/>
  <c r="D113" i="3" s="1"/>
  <c r="C110" i="2"/>
  <c r="B110" i="2"/>
  <c r="K109" i="2"/>
  <c r="E109" i="2"/>
  <c r="E114" i="1" s="1"/>
  <c r="E112" i="3" s="1"/>
  <c r="D109" i="2"/>
  <c r="D114" i="1" s="1"/>
  <c r="D112" i="3" s="1"/>
  <c r="C109" i="2"/>
  <c r="B109" i="2"/>
  <c r="K108" i="2"/>
  <c r="E108" i="2"/>
  <c r="E113" i="1" s="1"/>
  <c r="E111" i="3" s="1"/>
  <c r="D108" i="2"/>
  <c r="D113" i="1" s="1"/>
  <c r="D111" i="3" s="1"/>
  <c r="B108" i="2"/>
  <c r="K107" i="2"/>
  <c r="E107" i="2"/>
  <c r="E112" i="1" s="1"/>
  <c r="E110" i="3" s="1"/>
  <c r="D107" i="2"/>
  <c r="D112" i="1" s="1"/>
  <c r="D110" i="3" s="1"/>
  <c r="C107" i="2"/>
  <c r="B107" i="2"/>
  <c r="K106" i="2"/>
  <c r="E106" i="2"/>
  <c r="E111" i="1" s="1"/>
  <c r="E109" i="3" s="1"/>
  <c r="D106" i="2"/>
  <c r="D111" i="1" s="1"/>
  <c r="D109" i="3" s="1"/>
  <c r="C106" i="2"/>
  <c r="B106" i="2"/>
  <c r="K105" i="2"/>
  <c r="E105" i="2"/>
  <c r="E110" i="1" s="1"/>
  <c r="E108" i="3" s="1"/>
  <c r="D105" i="2"/>
  <c r="D110" i="1" s="1"/>
  <c r="D108" i="3" s="1"/>
  <c r="C105" i="2"/>
  <c r="B105" i="2"/>
  <c r="K104" i="2"/>
  <c r="E104" i="2"/>
  <c r="E109" i="1" s="1"/>
  <c r="E107" i="3" s="1"/>
  <c r="D104" i="2"/>
  <c r="D109" i="1" s="1"/>
  <c r="D107" i="3" s="1"/>
  <c r="C104" i="2"/>
  <c r="B104" i="2"/>
  <c r="K103" i="2"/>
  <c r="E103" i="2"/>
  <c r="E108" i="1" s="1"/>
  <c r="E106" i="3" s="1"/>
  <c r="D103" i="2"/>
  <c r="D108" i="1" s="1"/>
  <c r="D106" i="3" s="1"/>
  <c r="C103" i="2"/>
  <c r="B103" i="2"/>
  <c r="K102" i="2"/>
  <c r="E102" i="2"/>
  <c r="E107" i="1" s="1"/>
  <c r="E105" i="3" s="1"/>
  <c r="D102" i="2"/>
  <c r="D107" i="1" s="1"/>
  <c r="D105" i="3" s="1"/>
  <c r="C102" i="2"/>
  <c r="B102" i="2"/>
  <c r="K101" i="2"/>
  <c r="E101" i="2"/>
  <c r="E106" i="1" s="1"/>
  <c r="E104" i="3" s="1"/>
  <c r="D101" i="2"/>
  <c r="D106" i="1" s="1"/>
  <c r="D104" i="3" s="1"/>
  <c r="C101" i="2"/>
  <c r="B101" i="2"/>
  <c r="K100" i="2"/>
  <c r="E100" i="2"/>
  <c r="E105" i="1" s="1"/>
  <c r="E103" i="3" s="1"/>
  <c r="D100" i="2"/>
  <c r="D105" i="1" s="1"/>
  <c r="D103" i="3" s="1"/>
  <c r="C100" i="2"/>
  <c r="B100" i="2"/>
  <c r="K99" i="2"/>
  <c r="D99" i="2"/>
  <c r="D104" i="1" s="1"/>
  <c r="D102" i="3" s="1"/>
  <c r="C99" i="2"/>
  <c r="B99" i="2"/>
  <c r="K98" i="2"/>
  <c r="E98" i="2"/>
  <c r="E103" i="1" s="1"/>
  <c r="E101" i="3" s="1"/>
  <c r="D98" i="2"/>
  <c r="D103" i="1" s="1"/>
  <c r="D101" i="3" s="1"/>
  <c r="K97" i="2"/>
  <c r="E97" i="2"/>
  <c r="D97" i="2"/>
  <c r="C97" i="2"/>
  <c r="B97" i="2"/>
  <c r="K96" i="2"/>
  <c r="E96" i="2"/>
  <c r="E100" i="1" s="1"/>
  <c r="E99" i="3" s="1"/>
  <c r="D96" i="2"/>
  <c r="D100" i="1" s="1"/>
  <c r="D99" i="3" s="1"/>
  <c r="C96" i="2"/>
  <c r="B96" i="2"/>
  <c r="K95" i="2"/>
  <c r="E95" i="2"/>
  <c r="E99" i="1" s="1"/>
  <c r="E98" i="3" s="1"/>
  <c r="D95" i="2"/>
  <c r="D99" i="1" s="1"/>
  <c r="D98" i="3" s="1"/>
  <c r="C95" i="2"/>
  <c r="B95" i="2"/>
  <c r="K94" i="2"/>
  <c r="E94" i="2"/>
  <c r="E98" i="1" s="1"/>
  <c r="E97" i="3" s="1"/>
  <c r="D94" i="2"/>
  <c r="D98" i="1" s="1"/>
  <c r="D97" i="3" s="1"/>
  <c r="C94" i="2"/>
  <c r="B94" i="2"/>
  <c r="K93" i="2"/>
  <c r="E93" i="2"/>
  <c r="E97" i="1" s="1"/>
  <c r="E96" i="3" s="1"/>
  <c r="D93" i="2"/>
  <c r="D97" i="1" s="1"/>
  <c r="D96" i="3" s="1"/>
  <c r="C93" i="2"/>
  <c r="B93" i="2"/>
  <c r="K92" i="2"/>
  <c r="E92" i="2"/>
  <c r="E96" i="1" s="1"/>
  <c r="E95" i="3" s="1"/>
  <c r="D92" i="2"/>
  <c r="D96" i="1" s="1"/>
  <c r="D95" i="3" s="1"/>
  <c r="C92" i="2"/>
  <c r="B92" i="2"/>
  <c r="K91" i="2"/>
  <c r="E91" i="2"/>
  <c r="E95" i="1" s="1"/>
  <c r="E94" i="3" s="1"/>
  <c r="D91" i="2"/>
  <c r="D95" i="1" s="1"/>
  <c r="D94" i="3" s="1"/>
  <c r="C91" i="2"/>
  <c r="B91" i="2"/>
  <c r="K90" i="2"/>
  <c r="E90" i="2"/>
  <c r="E94" i="1" s="1"/>
  <c r="E93" i="3" s="1"/>
  <c r="D90" i="2"/>
  <c r="D94" i="1" s="1"/>
  <c r="D93" i="3" s="1"/>
  <c r="C90" i="2"/>
  <c r="B90" i="2"/>
  <c r="K89" i="2"/>
  <c r="E89" i="2"/>
  <c r="E93" i="1" s="1"/>
  <c r="E92" i="3" s="1"/>
  <c r="D89" i="2"/>
  <c r="D93" i="1" s="1"/>
  <c r="D92" i="3" s="1"/>
  <c r="C89" i="2"/>
  <c r="B89" i="2"/>
  <c r="K88" i="2"/>
  <c r="E88" i="2"/>
  <c r="E92" i="1" s="1"/>
  <c r="E91" i="3" s="1"/>
  <c r="D88" i="2"/>
  <c r="D92" i="1" s="1"/>
  <c r="D91" i="3" s="1"/>
  <c r="C88" i="2"/>
  <c r="B88" i="2"/>
  <c r="K87" i="2"/>
  <c r="E87" i="2"/>
  <c r="E91" i="1" s="1"/>
  <c r="E90" i="3" s="1"/>
  <c r="D87" i="2"/>
  <c r="D91" i="1" s="1"/>
  <c r="D90" i="3" s="1"/>
  <c r="C87" i="2"/>
  <c r="B87" i="2"/>
  <c r="K86" i="2"/>
  <c r="E86" i="2"/>
  <c r="E90" i="1" s="1"/>
  <c r="E89" i="3" s="1"/>
  <c r="D86" i="2"/>
  <c r="D90" i="1" s="1"/>
  <c r="D89" i="3" s="1"/>
  <c r="C86" i="2"/>
  <c r="B86" i="2"/>
  <c r="K85" i="2"/>
  <c r="E85" i="2"/>
  <c r="E89" i="1" s="1"/>
  <c r="E88" i="3" s="1"/>
  <c r="D85" i="2"/>
  <c r="D89" i="1" s="1"/>
  <c r="D88" i="3" s="1"/>
  <c r="C85" i="2"/>
  <c r="B85" i="2"/>
  <c r="K84" i="2"/>
  <c r="E84" i="2"/>
  <c r="E88" i="1" s="1"/>
  <c r="E87" i="3" s="1"/>
  <c r="D84" i="2"/>
  <c r="D88" i="1" s="1"/>
  <c r="D87" i="3" s="1"/>
  <c r="C84" i="2"/>
  <c r="B84" i="2"/>
  <c r="K83" i="2"/>
  <c r="E83" i="2"/>
  <c r="E87" i="1" s="1"/>
  <c r="E86" i="3" s="1"/>
  <c r="D83" i="2"/>
  <c r="D87" i="1" s="1"/>
  <c r="D86" i="3" s="1"/>
  <c r="C83" i="2"/>
  <c r="B83" i="2"/>
  <c r="K82" i="2"/>
  <c r="E82" i="2"/>
  <c r="E86" i="1" s="1"/>
  <c r="E85" i="3" s="1"/>
  <c r="D82" i="2"/>
  <c r="D86" i="1" s="1"/>
  <c r="D85" i="3" s="1"/>
  <c r="C82" i="2"/>
  <c r="B82" i="2"/>
  <c r="K81" i="2"/>
  <c r="E81" i="2"/>
  <c r="E85" i="1" s="1"/>
  <c r="E84" i="3" s="1"/>
  <c r="D81" i="2"/>
  <c r="D85" i="1" s="1"/>
  <c r="D84" i="3" s="1"/>
  <c r="C81" i="2"/>
  <c r="B81" i="2"/>
  <c r="K80" i="2"/>
  <c r="E80" i="2"/>
  <c r="E84" i="1" s="1"/>
  <c r="E83" i="3" s="1"/>
  <c r="D80" i="2"/>
  <c r="D84" i="1" s="1"/>
  <c r="D83" i="3" s="1"/>
  <c r="C80" i="2"/>
  <c r="B80" i="2"/>
  <c r="K79" i="2"/>
  <c r="E79" i="2"/>
  <c r="E83" i="1" s="1"/>
  <c r="E82" i="3" s="1"/>
  <c r="D79" i="2"/>
  <c r="D83" i="1" s="1"/>
  <c r="D82" i="3" s="1"/>
  <c r="C79" i="2"/>
  <c r="B79" i="2"/>
  <c r="K78" i="2"/>
  <c r="E78" i="2"/>
  <c r="E82" i="1" s="1"/>
  <c r="E81" i="3" s="1"/>
  <c r="D78" i="2"/>
  <c r="D82" i="1" s="1"/>
  <c r="D81" i="3" s="1"/>
  <c r="C78" i="2"/>
  <c r="B78" i="2"/>
  <c r="K77" i="2"/>
  <c r="E77" i="2"/>
  <c r="E81" i="1" s="1"/>
  <c r="E80" i="3" s="1"/>
  <c r="D77" i="2"/>
  <c r="D81" i="1" s="1"/>
  <c r="D80" i="3" s="1"/>
  <c r="C77" i="2"/>
  <c r="B77" i="2"/>
  <c r="K76" i="2"/>
  <c r="E76" i="2"/>
  <c r="E80" i="1" s="1"/>
  <c r="E79" i="3" s="1"/>
  <c r="D76" i="2"/>
  <c r="D80" i="1" s="1"/>
  <c r="D79" i="3" s="1"/>
  <c r="C76" i="2"/>
  <c r="B76" i="2"/>
  <c r="K75" i="2"/>
  <c r="E75" i="2"/>
  <c r="E79" i="1" s="1"/>
  <c r="E78" i="3" s="1"/>
  <c r="D75" i="2"/>
  <c r="D79" i="1" s="1"/>
  <c r="D78" i="3" s="1"/>
  <c r="C75" i="2"/>
  <c r="B75" i="2"/>
  <c r="K74" i="2"/>
  <c r="E74" i="2"/>
  <c r="E78" i="1" s="1"/>
  <c r="E77" i="3" s="1"/>
  <c r="D74" i="2"/>
  <c r="D78" i="1" s="1"/>
  <c r="D77" i="3" s="1"/>
  <c r="C74" i="2"/>
  <c r="B74" i="2"/>
  <c r="K73" i="2"/>
  <c r="E73" i="2"/>
  <c r="E77" i="1" s="1"/>
  <c r="E76" i="3" s="1"/>
  <c r="D73" i="2"/>
  <c r="D77" i="1" s="1"/>
  <c r="D76" i="3" s="1"/>
  <c r="C73" i="2"/>
  <c r="B73" i="2"/>
  <c r="K72" i="2"/>
  <c r="E72" i="2"/>
  <c r="E76" i="1" s="1"/>
  <c r="E75" i="3" s="1"/>
  <c r="D72" i="2"/>
  <c r="D76" i="1" s="1"/>
  <c r="D75" i="3" s="1"/>
  <c r="C72" i="2"/>
  <c r="B72" i="2"/>
  <c r="K71" i="2"/>
  <c r="E71" i="2"/>
  <c r="E75" i="1" s="1"/>
  <c r="E74" i="3" s="1"/>
  <c r="D71" i="2"/>
  <c r="D75" i="1" s="1"/>
  <c r="D74" i="3" s="1"/>
  <c r="C71" i="2"/>
  <c r="B71" i="2"/>
  <c r="K70" i="2"/>
  <c r="E70" i="2"/>
  <c r="E74" i="1" s="1"/>
  <c r="E73" i="3" s="1"/>
  <c r="D70" i="2"/>
  <c r="D74" i="1" s="1"/>
  <c r="D73" i="3" s="1"/>
  <c r="C70" i="2"/>
  <c r="B70" i="2"/>
  <c r="K69" i="2"/>
  <c r="E69" i="2"/>
  <c r="E73" i="1" s="1"/>
  <c r="E72" i="3" s="1"/>
  <c r="D69" i="2"/>
  <c r="D73" i="1" s="1"/>
  <c r="D72" i="3" s="1"/>
  <c r="C69" i="2"/>
  <c r="B69" i="2"/>
  <c r="K68" i="2"/>
  <c r="E68" i="2"/>
  <c r="E72" i="1" s="1"/>
  <c r="E71" i="3" s="1"/>
  <c r="D68" i="2"/>
  <c r="D72" i="1" s="1"/>
  <c r="D71" i="3" s="1"/>
  <c r="C68" i="2"/>
  <c r="B68" i="2"/>
  <c r="K67" i="2"/>
  <c r="E67" i="2"/>
  <c r="E71" i="1" s="1"/>
  <c r="E70" i="3" s="1"/>
  <c r="D67" i="2"/>
  <c r="D71" i="1" s="1"/>
  <c r="D70" i="3" s="1"/>
  <c r="C67" i="2"/>
  <c r="B67" i="2"/>
  <c r="K66" i="2"/>
  <c r="E66" i="2"/>
  <c r="E70" i="1" s="1"/>
  <c r="E69" i="3" s="1"/>
  <c r="D66" i="2"/>
  <c r="D70" i="1" s="1"/>
  <c r="D69" i="3" s="1"/>
  <c r="C66" i="2"/>
  <c r="B66" i="2"/>
  <c r="K65" i="2"/>
  <c r="E65" i="2"/>
  <c r="E69" i="1" s="1"/>
  <c r="E68" i="3" s="1"/>
  <c r="D65" i="2"/>
  <c r="D69" i="1" s="1"/>
  <c r="D68" i="3" s="1"/>
  <c r="C65" i="2"/>
  <c r="B65" i="2"/>
  <c r="K64" i="2"/>
  <c r="E64" i="2"/>
  <c r="E68" i="1" s="1"/>
  <c r="E67" i="3" s="1"/>
  <c r="D64" i="2"/>
  <c r="D68" i="1" s="1"/>
  <c r="D67" i="3" s="1"/>
  <c r="C64" i="2"/>
  <c r="B64" i="2"/>
  <c r="K63" i="2"/>
  <c r="E63" i="2"/>
  <c r="E67" i="1" s="1"/>
  <c r="E66" i="3" s="1"/>
  <c r="D63" i="2"/>
  <c r="D67" i="1" s="1"/>
  <c r="D66" i="3" s="1"/>
  <c r="C63" i="2"/>
  <c r="B63" i="2"/>
  <c r="K62" i="2"/>
  <c r="K61" i="2"/>
  <c r="E61" i="2"/>
  <c r="E65" i="1" s="1"/>
  <c r="E65" i="3" s="1"/>
  <c r="D61" i="2"/>
  <c r="D65" i="1" s="1"/>
  <c r="D65" i="3" s="1"/>
  <c r="C61" i="2"/>
  <c r="B61" i="2"/>
  <c r="K60" i="2"/>
  <c r="E60" i="2"/>
  <c r="E64" i="1" s="1"/>
  <c r="E64" i="3" s="1"/>
  <c r="D60" i="2"/>
  <c r="D64" i="1" s="1"/>
  <c r="D64" i="3" s="1"/>
  <c r="C60" i="2"/>
  <c r="B60" i="2"/>
  <c r="K59" i="2"/>
  <c r="E59" i="2"/>
  <c r="E63" i="1" s="1"/>
  <c r="E63" i="3" s="1"/>
  <c r="D59" i="2"/>
  <c r="D63" i="1" s="1"/>
  <c r="D63" i="3" s="1"/>
  <c r="C59" i="2"/>
  <c r="B59" i="2"/>
  <c r="K58" i="2"/>
  <c r="E58" i="2"/>
  <c r="E62" i="1" s="1"/>
  <c r="E62" i="3" s="1"/>
  <c r="D58" i="2"/>
  <c r="D62" i="1" s="1"/>
  <c r="D62" i="3" s="1"/>
  <c r="C58" i="2"/>
  <c r="B58" i="2"/>
  <c r="K57" i="2"/>
  <c r="E57" i="2"/>
  <c r="E61" i="1" s="1"/>
  <c r="E61" i="3" s="1"/>
  <c r="D57" i="2"/>
  <c r="D61" i="1" s="1"/>
  <c r="D61" i="3" s="1"/>
  <c r="C57" i="2"/>
  <c r="B57" i="2"/>
  <c r="K56" i="2"/>
  <c r="E56" i="2"/>
  <c r="E60" i="1" s="1"/>
  <c r="E60" i="3" s="1"/>
  <c r="D56" i="2"/>
  <c r="D60" i="1" s="1"/>
  <c r="D60" i="3" s="1"/>
  <c r="C56" i="2"/>
  <c r="B56" i="2"/>
  <c r="K55" i="2"/>
  <c r="E55" i="2"/>
  <c r="E59" i="1" s="1"/>
  <c r="E59" i="3" s="1"/>
  <c r="D55" i="2"/>
  <c r="D59" i="1" s="1"/>
  <c r="D59" i="3" s="1"/>
  <c r="C55" i="2"/>
  <c r="B55" i="2"/>
  <c r="K54" i="2"/>
  <c r="D54" i="2"/>
  <c r="D58" i="1" s="1"/>
  <c r="D58" i="3" s="1"/>
  <c r="C54" i="2"/>
  <c r="B54" i="2"/>
  <c r="K53" i="2"/>
  <c r="D53" i="2"/>
  <c r="D57" i="1" s="1"/>
  <c r="D57" i="3" s="1"/>
  <c r="C53" i="2"/>
  <c r="B53" i="2"/>
  <c r="K52" i="2"/>
  <c r="E52" i="2"/>
  <c r="E56" i="1" s="1"/>
  <c r="E56" i="3" s="1"/>
  <c r="D52" i="2"/>
  <c r="D56" i="1" s="1"/>
  <c r="D56" i="3" s="1"/>
  <c r="C52" i="2"/>
  <c r="B52" i="2"/>
  <c r="K51" i="2"/>
  <c r="E51" i="2"/>
  <c r="E55" i="1" s="1"/>
  <c r="E55" i="3" s="1"/>
  <c r="D51" i="2"/>
  <c r="D55" i="1" s="1"/>
  <c r="D55" i="3" s="1"/>
  <c r="C51" i="2"/>
  <c r="B51" i="2"/>
  <c r="K50" i="2"/>
  <c r="E50" i="2"/>
  <c r="E54" i="1" s="1"/>
  <c r="E54" i="3" s="1"/>
  <c r="D50" i="2"/>
  <c r="D54" i="1" s="1"/>
  <c r="D54" i="3" s="1"/>
  <c r="C50" i="2"/>
  <c r="B50" i="2"/>
  <c r="K49" i="2"/>
  <c r="E49" i="2"/>
  <c r="E53" i="1" s="1"/>
  <c r="E53" i="3" s="1"/>
  <c r="D49" i="2"/>
  <c r="D53" i="1" s="1"/>
  <c r="D53" i="3" s="1"/>
  <c r="C49" i="2"/>
  <c r="B49" i="2"/>
  <c r="K48" i="2"/>
  <c r="E48" i="2"/>
  <c r="E52" i="1" s="1"/>
  <c r="E52" i="3" s="1"/>
  <c r="D48" i="2"/>
  <c r="D52" i="1" s="1"/>
  <c r="D52" i="3" s="1"/>
  <c r="C48" i="2"/>
  <c r="B48" i="2"/>
  <c r="K47" i="2"/>
  <c r="E47" i="2"/>
  <c r="E51" i="1" s="1"/>
  <c r="E51" i="3" s="1"/>
  <c r="D47" i="2"/>
  <c r="D51" i="1" s="1"/>
  <c r="D51" i="3" s="1"/>
  <c r="C47" i="2"/>
  <c r="B47" i="2"/>
  <c r="K46" i="2"/>
  <c r="E46" i="2"/>
  <c r="E50" i="1" s="1"/>
  <c r="E50" i="3" s="1"/>
  <c r="D46" i="2"/>
  <c r="D50" i="1" s="1"/>
  <c r="D50" i="3" s="1"/>
  <c r="C46" i="2"/>
  <c r="B46" i="2"/>
  <c r="K45" i="2"/>
  <c r="E45" i="2"/>
  <c r="E49" i="1" s="1"/>
  <c r="E49" i="3" s="1"/>
  <c r="D45" i="2"/>
  <c r="D49" i="1" s="1"/>
  <c r="D49" i="3" s="1"/>
  <c r="C45" i="2"/>
  <c r="B45" i="2"/>
  <c r="K44" i="2"/>
  <c r="E44" i="2"/>
  <c r="E48" i="1" s="1"/>
  <c r="E48" i="3" s="1"/>
  <c r="D44" i="2"/>
  <c r="D48" i="1" s="1"/>
  <c r="D48" i="3" s="1"/>
  <c r="C44" i="2"/>
  <c r="B44" i="2"/>
  <c r="K43" i="2"/>
  <c r="E43" i="2"/>
  <c r="E47" i="1" s="1"/>
  <c r="E47" i="3" s="1"/>
  <c r="D43" i="2"/>
  <c r="D47" i="1" s="1"/>
  <c r="D47" i="3" s="1"/>
  <c r="C43" i="2"/>
  <c r="B43" i="2"/>
  <c r="K42" i="2"/>
  <c r="E42" i="2"/>
  <c r="E46" i="1" s="1"/>
  <c r="E46" i="3" s="1"/>
  <c r="D42" i="2"/>
  <c r="D46" i="1" s="1"/>
  <c r="D46" i="3" s="1"/>
  <c r="C42" i="2"/>
  <c r="B42" i="2"/>
  <c r="K41" i="2"/>
  <c r="E41" i="2"/>
  <c r="E45" i="1" s="1"/>
  <c r="E45" i="3" s="1"/>
  <c r="D41" i="2"/>
  <c r="D45" i="1" s="1"/>
  <c r="D45" i="3" s="1"/>
  <c r="C41" i="2"/>
  <c r="B41" i="2"/>
  <c r="K40" i="2"/>
  <c r="E40" i="2"/>
  <c r="E44" i="1" s="1"/>
  <c r="E44" i="3" s="1"/>
  <c r="D40" i="2"/>
  <c r="D44" i="1" s="1"/>
  <c r="D44" i="3" s="1"/>
  <c r="C40" i="2"/>
  <c r="B40" i="2"/>
  <c r="K39" i="2"/>
  <c r="E39" i="2"/>
  <c r="E41" i="1" s="1"/>
  <c r="E41" i="3" s="1"/>
  <c r="D39" i="2"/>
  <c r="D41" i="1" s="1"/>
  <c r="D41" i="3" s="1"/>
  <c r="C39" i="2"/>
  <c r="B39" i="2"/>
  <c r="K38" i="2"/>
  <c r="E38" i="2"/>
  <c r="E40" i="1" s="1"/>
  <c r="E40" i="3" s="1"/>
  <c r="D38" i="2"/>
  <c r="D40" i="1" s="1"/>
  <c r="D40" i="3" s="1"/>
  <c r="C38" i="2"/>
  <c r="B38" i="2"/>
  <c r="K37" i="2"/>
  <c r="E37" i="2"/>
  <c r="E39" i="1" s="1"/>
  <c r="E39" i="3" s="1"/>
  <c r="D37" i="2"/>
  <c r="D39" i="1" s="1"/>
  <c r="D39" i="3" s="1"/>
  <c r="C37" i="2"/>
  <c r="B37" i="2"/>
  <c r="K36" i="2"/>
  <c r="E36" i="2"/>
  <c r="E38" i="1" s="1"/>
  <c r="E38" i="3" s="1"/>
  <c r="D36" i="2"/>
  <c r="D38" i="1" s="1"/>
  <c r="D38" i="3" s="1"/>
  <c r="C36" i="2"/>
  <c r="B36" i="2"/>
  <c r="K35" i="2"/>
  <c r="E35" i="2"/>
  <c r="E37" i="1" s="1"/>
  <c r="E37" i="3" s="1"/>
  <c r="D35" i="2"/>
  <c r="D37" i="1" s="1"/>
  <c r="D37" i="3" s="1"/>
  <c r="C35" i="2"/>
  <c r="B35" i="2"/>
  <c r="K34" i="2"/>
  <c r="E34" i="2"/>
  <c r="E36" i="1" s="1"/>
  <c r="E36" i="3" s="1"/>
  <c r="D34" i="2"/>
  <c r="D36" i="1" s="1"/>
  <c r="D36" i="3" s="1"/>
  <c r="B34" i="2"/>
  <c r="K33" i="2"/>
  <c r="E33" i="2"/>
  <c r="E35" i="1" s="1"/>
  <c r="E35" i="3" s="1"/>
  <c r="D33" i="2"/>
  <c r="D35" i="1" s="1"/>
  <c r="D35" i="3" s="1"/>
  <c r="C33" i="2"/>
  <c r="B33" i="2"/>
  <c r="K32" i="2"/>
  <c r="E32" i="2"/>
  <c r="E34" i="1" s="1"/>
  <c r="E34" i="3" s="1"/>
  <c r="D32" i="2"/>
  <c r="D34" i="1" s="1"/>
  <c r="D34" i="3" s="1"/>
  <c r="C32" i="2"/>
  <c r="B32" i="2"/>
  <c r="K31" i="2"/>
  <c r="E31" i="2"/>
  <c r="E33" i="1" s="1"/>
  <c r="E33" i="3" s="1"/>
  <c r="D31" i="2"/>
  <c r="D33" i="1" s="1"/>
  <c r="D33" i="3" s="1"/>
  <c r="C31" i="2"/>
  <c r="B31" i="2"/>
  <c r="K30" i="2"/>
  <c r="E30" i="2"/>
  <c r="E32" i="1" s="1"/>
  <c r="E32" i="3" s="1"/>
  <c r="D30" i="2"/>
  <c r="D32" i="1" s="1"/>
  <c r="D32" i="3" s="1"/>
  <c r="K29" i="2"/>
  <c r="E29" i="2"/>
  <c r="E31" i="1" s="1"/>
  <c r="E31" i="3" s="1"/>
  <c r="D29" i="2"/>
  <c r="D31" i="1" s="1"/>
  <c r="D31" i="3" s="1"/>
  <c r="B29" i="2"/>
  <c r="K28" i="2"/>
  <c r="E28" i="2"/>
  <c r="E30" i="1" s="1"/>
  <c r="E30" i="3" s="1"/>
  <c r="D28" i="2"/>
  <c r="D30" i="1" s="1"/>
  <c r="D30" i="3" s="1"/>
  <c r="C28" i="2"/>
  <c r="B28" i="2"/>
  <c r="K27" i="2"/>
  <c r="E27" i="2"/>
  <c r="E29" i="1" s="1"/>
  <c r="E29" i="3" s="1"/>
  <c r="D27" i="2"/>
  <c r="D29" i="1" s="1"/>
  <c r="D29" i="3" s="1"/>
  <c r="C27" i="2"/>
  <c r="B27" i="2"/>
  <c r="K26" i="2"/>
  <c r="E26" i="2"/>
  <c r="E28" i="1" s="1"/>
  <c r="E28" i="3" s="1"/>
  <c r="D26" i="2"/>
  <c r="D28" i="1" s="1"/>
  <c r="D28" i="3" s="1"/>
  <c r="C26" i="2"/>
  <c r="B26" i="2"/>
  <c r="K25" i="2"/>
  <c r="E25" i="2"/>
  <c r="E27" i="1" s="1"/>
  <c r="E27" i="3" s="1"/>
  <c r="D25" i="2"/>
  <c r="D27" i="1" s="1"/>
  <c r="D27" i="3" s="1"/>
  <c r="C25" i="2"/>
  <c r="B25" i="2"/>
  <c r="K24" i="2"/>
  <c r="E24" i="2"/>
  <c r="E26" i="1" s="1"/>
  <c r="E26" i="3" s="1"/>
  <c r="D24" i="2"/>
  <c r="D26" i="1" s="1"/>
  <c r="D26" i="3" s="1"/>
  <c r="C24" i="2"/>
  <c r="B24" i="2"/>
  <c r="K23" i="2"/>
  <c r="E23" i="2"/>
  <c r="E25" i="1" s="1"/>
  <c r="E25" i="3" s="1"/>
  <c r="D23" i="2"/>
  <c r="D25" i="1" s="1"/>
  <c r="D25" i="3" s="1"/>
  <c r="C23" i="2"/>
  <c r="B23" i="2"/>
  <c r="K22" i="2"/>
  <c r="E22" i="2"/>
  <c r="E24" i="1" s="1"/>
  <c r="E24" i="3" s="1"/>
  <c r="D22" i="2"/>
  <c r="D24" i="1" s="1"/>
  <c r="D24" i="3" s="1"/>
  <c r="C22" i="2"/>
  <c r="B22" i="2"/>
  <c r="K21" i="2"/>
  <c r="E21" i="2"/>
  <c r="E23" i="1" s="1"/>
  <c r="E23" i="3" s="1"/>
  <c r="D21" i="2"/>
  <c r="D23" i="1" s="1"/>
  <c r="D23" i="3" s="1"/>
  <c r="C21" i="2"/>
  <c r="B21" i="2"/>
  <c r="K20" i="2"/>
  <c r="E20" i="2"/>
  <c r="E22" i="1" s="1"/>
  <c r="E22" i="3" s="1"/>
  <c r="D20" i="2"/>
  <c r="D22" i="1" s="1"/>
  <c r="D22" i="3" s="1"/>
  <c r="C20" i="2"/>
  <c r="B20" i="2"/>
  <c r="K19" i="2"/>
  <c r="E19" i="2"/>
  <c r="E21" i="1" s="1"/>
  <c r="E21" i="3" s="1"/>
  <c r="D19" i="2"/>
  <c r="D21" i="1" s="1"/>
  <c r="D21" i="3" s="1"/>
  <c r="C19" i="2"/>
  <c r="B19" i="2"/>
  <c r="K18" i="2"/>
  <c r="E18" i="2"/>
  <c r="E20" i="1" s="1"/>
  <c r="E20" i="3" s="1"/>
  <c r="D18" i="2"/>
  <c r="D20" i="1" s="1"/>
  <c r="D20" i="3" s="1"/>
  <c r="C18" i="2"/>
  <c r="B18" i="2"/>
  <c r="K17" i="2"/>
  <c r="E17" i="2"/>
  <c r="E19" i="1" s="1"/>
  <c r="E19" i="3" s="1"/>
  <c r="D17" i="2"/>
  <c r="D19" i="1" s="1"/>
  <c r="D19" i="3" s="1"/>
  <c r="C17" i="2"/>
  <c r="B17" i="2"/>
  <c r="K16" i="2"/>
  <c r="E16" i="2"/>
  <c r="E18" i="1" s="1"/>
  <c r="E18" i="3" s="1"/>
  <c r="D16" i="2"/>
  <c r="D18" i="1" s="1"/>
  <c r="D18" i="3" s="1"/>
  <c r="C16" i="2"/>
  <c r="B16" i="2"/>
  <c r="K15" i="2"/>
  <c r="E15" i="2"/>
  <c r="E17" i="1" s="1"/>
  <c r="E17" i="3" s="1"/>
  <c r="D15" i="2"/>
  <c r="D17" i="1" s="1"/>
  <c r="D17" i="3" s="1"/>
  <c r="C15" i="2"/>
  <c r="B15" i="2"/>
  <c r="K14" i="2"/>
  <c r="E14" i="2"/>
  <c r="E16" i="1" s="1"/>
  <c r="E16" i="3" s="1"/>
  <c r="D14" i="2"/>
  <c r="D16" i="1" s="1"/>
  <c r="D16" i="3" s="1"/>
  <c r="C14" i="2"/>
  <c r="B14" i="2"/>
  <c r="K13" i="2"/>
  <c r="E13" i="2"/>
  <c r="E15" i="1" s="1"/>
  <c r="E15" i="3" s="1"/>
  <c r="D13" i="2"/>
  <c r="D15" i="1" s="1"/>
  <c r="D15" i="3" s="1"/>
  <c r="C13" i="2"/>
  <c r="B13" i="2"/>
  <c r="K12" i="2"/>
  <c r="E12" i="2"/>
  <c r="E14" i="1" s="1"/>
  <c r="E14" i="3" s="1"/>
  <c r="D12" i="2"/>
  <c r="D14" i="1" s="1"/>
  <c r="D14" i="3" s="1"/>
  <c r="C12" i="2"/>
  <c r="B12" i="2"/>
  <c r="K11" i="2"/>
  <c r="E11" i="2"/>
  <c r="E13" i="1" s="1"/>
  <c r="E13" i="3" s="1"/>
  <c r="D11" i="2"/>
  <c r="D13" i="1" s="1"/>
  <c r="D13" i="3" s="1"/>
  <c r="C11" i="2"/>
  <c r="B11" i="2"/>
  <c r="K10" i="2"/>
  <c r="E10" i="2"/>
  <c r="E12" i="1" s="1"/>
  <c r="E12" i="3" s="1"/>
  <c r="D10" i="2"/>
  <c r="D12" i="1" s="1"/>
  <c r="D12" i="3" s="1"/>
  <c r="C10" i="2"/>
  <c r="B10" i="2"/>
  <c r="K9" i="2"/>
  <c r="E9" i="2"/>
  <c r="E11" i="1" s="1"/>
  <c r="E11" i="3" s="1"/>
  <c r="D9" i="2"/>
  <c r="D11" i="1" s="1"/>
  <c r="D11" i="3" s="1"/>
  <c r="C9" i="2"/>
  <c r="B9" i="2"/>
  <c r="K8" i="2"/>
  <c r="E8" i="2"/>
  <c r="E8" i="1" s="1"/>
  <c r="E8" i="3" s="1"/>
  <c r="D8" i="2"/>
  <c r="D8" i="1" s="1"/>
  <c r="D8" i="3" s="1"/>
  <c r="C8" i="2"/>
  <c r="B8" i="2"/>
  <c r="K7" i="2"/>
  <c r="E7" i="2"/>
  <c r="E7" i="1" s="1"/>
  <c r="E7" i="3" s="1"/>
  <c r="D7" i="2"/>
  <c r="D7" i="1" s="1"/>
  <c r="D7" i="3" s="1"/>
  <c r="C7" i="2"/>
  <c r="B7" i="2"/>
  <c r="K6" i="2"/>
  <c r="E6" i="2"/>
  <c r="E6" i="1" s="1"/>
  <c r="E6" i="3" s="1"/>
  <c r="D6" i="2"/>
  <c r="D6" i="1" s="1"/>
  <c r="D6" i="3" s="1"/>
  <c r="C6" i="2"/>
  <c r="B6" i="2"/>
  <c r="K5" i="2"/>
  <c r="E5" i="2"/>
  <c r="E5" i="1" s="1"/>
  <c r="E5" i="3" s="1"/>
  <c r="D5" i="2"/>
  <c r="D5" i="1" s="1"/>
  <c r="D5" i="3" s="1"/>
  <c r="C5" i="2"/>
  <c r="B5" i="2"/>
  <c r="K4" i="2"/>
  <c r="E4" i="2"/>
  <c r="E4" i="1" s="1"/>
  <c r="E4" i="3" s="1"/>
  <c r="D4" i="2"/>
  <c r="D4" i="1" s="1"/>
  <c r="D4" i="3" s="1"/>
  <c r="C4" i="2"/>
  <c r="B4" i="2"/>
  <c r="K3" i="2"/>
  <c r="E3" i="2"/>
  <c r="E3" i="1" s="1"/>
  <c r="E3" i="3" s="1"/>
  <c r="D3" i="2"/>
  <c r="D3" i="1" s="1"/>
  <c r="D3" i="3" s="1"/>
  <c r="C3" i="2"/>
  <c r="B3" i="2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E101" i="1" l="1"/>
  <c r="E100" i="3" s="1"/>
  <c r="E102" i="1"/>
  <c r="D101" i="1"/>
  <c r="D100" i="3" s="1"/>
  <c r="D102" i="1"/>
</calcChain>
</file>

<file path=xl/sharedStrings.xml><?xml version="1.0" encoding="utf-8"?>
<sst xmlns="http://schemas.openxmlformats.org/spreadsheetml/2006/main" count="2189" uniqueCount="740">
  <si>
    <t>Reagent Name</t>
  </si>
  <si>
    <t>Manufacturer</t>
  </si>
  <si>
    <t>Catalog number</t>
  </si>
  <si>
    <t>BHI Broth</t>
  </si>
  <si>
    <t>Oxiod</t>
  </si>
  <si>
    <t>CM1135B</t>
  </si>
  <si>
    <t>Yeast Extract</t>
  </si>
  <si>
    <t>Sangon Biotech</t>
  </si>
  <si>
    <t xml:space="preserve">A610961 </t>
  </si>
  <si>
    <t>Starch, soluble</t>
  </si>
  <si>
    <t>Sigma</t>
  </si>
  <si>
    <t>S9765-100G</t>
  </si>
  <si>
    <t>Mucin</t>
  </si>
  <si>
    <t xml:space="preserve">M2378 </t>
  </si>
  <si>
    <t>Tryptone</t>
  </si>
  <si>
    <t>oxiod</t>
  </si>
  <si>
    <t>LP0042</t>
  </si>
  <si>
    <t>D-(+)-Maltose monohydrate</t>
  </si>
  <si>
    <t xml:space="preserve">M5885 </t>
  </si>
  <si>
    <t>L-Cysteine hydrochloride</t>
  </si>
  <si>
    <t xml:space="preserve">C1276 </t>
  </si>
  <si>
    <t>cellobiose</t>
  </si>
  <si>
    <t xml:space="preserve">C7252 </t>
  </si>
  <si>
    <t>hemin</t>
  </si>
  <si>
    <t>Agar</t>
  </si>
  <si>
    <t xml:space="preserve">A505255 </t>
  </si>
  <si>
    <t xml:space="preserve">NaCl </t>
  </si>
  <si>
    <t>HUSHI</t>
  </si>
  <si>
    <t xml:space="preserve">KCl </t>
  </si>
  <si>
    <t>China National Pharmaceutical Group Corporation </t>
  </si>
  <si>
    <t xml:space="preserve">KH2PO4 </t>
  </si>
  <si>
    <t>A501211</t>
  </si>
  <si>
    <r>
      <rPr>
        <sz val="12"/>
        <color theme="1"/>
        <rFont val="Times New Roman"/>
        <family val="1"/>
      </rPr>
      <t>Na2HPO4 ·12H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</si>
  <si>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 xml:space="preserve">A610404 </t>
  </si>
  <si>
    <t>glycerol</t>
  </si>
  <si>
    <t>Diamond</t>
  </si>
  <si>
    <t xml:space="preserve">A100854 </t>
  </si>
  <si>
    <r>
      <rPr>
        <sz val="12"/>
        <color theme="1"/>
        <rFont val="Times New Roman"/>
        <family val="1"/>
      </rPr>
      <t>DNA extraction reagent</t>
    </r>
    <r>
      <rPr>
        <sz val="12"/>
        <color theme="1"/>
        <rFont val="宋体"/>
      </rPr>
      <t>（</t>
    </r>
    <r>
      <rPr>
        <sz val="12"/>
        <color theme="1"/>
        <rFont val="Times New Roman"/>
        <family val="1"/>
      </rPr>
      <t>Phenol: Chloroform: Isoamyl alcohol = 25:24:1)</t>
    </r>
  </si>
  <si>
    <t>LMAI Bio</t>
  </si>
  <si>
    <t>LM0913</t>
  </si>
  <si>
    <t>Solarbio</t>
  </si>
  <si>
    <t xml:space="preserve">P1012 </t>
  </si>
  <si>
    <t>Agrose</t>
  </si>
  <si>
    <t>VWR</t>
  </si>
  <si>
    <t xml:space="preserve">N605 </t>
  </si>
  <si>
    <t>GoldView I Nuclear Staining Dyes (10000x)</t>
  </si>
  <si>
    <t>G8140</t>
  </si>
  <si>
    <t>SDS</t>
  </si>
  <si>
    <t xml:space="preserve">A60048 </t>
  </si>
  <si>
    <t>EDTA</t>
  </si>
  <si>
    <t xml:space="preserve">A610185 </t>
  </si>
  <si>
    <t>IPTG</t>
  </si>
  <si>
    <t>Amresco</t>
  </si>
  <si>
    <t>0487-1G</t>
  </si>
  <si>
    <t>Tris</t>
  </si>
  <si>
    <t xml:space="preserve">A600194 </t>
  </si>
  <si>
    <t>NaOH</t>
  </si>
  <si>
    <t>Ethanol</t>
  </si>
  <si>
    <t>Shanghai Lingfeng Chemical Reagents</t>
  </si>
  <si>
    <t>3M sodium acetate solution</t>
  </si>
  <si>
    <t xml:space="preserve">A1070 </t>
  </si>
  <si>
    <r>
      <rPr>
        <sz val="12"/>
        <color theme="1"/>
        <rFont val="Times New Roman"/>
        <family val="1"/>
      </rPr>
      <t xml:space="preserve">50× TAE </t>
    </r>
    <r>
      <rPr>
        <sz val="12"/>
        <color theme="1"/>
        <rFont val="Times New Roman"/>
        <family val="1"/>
      </rPr>
      <t>buffer</t>
    </r>
  </si>
  <si>
    <t xml:space="preserve">B548101 </t>
  </si>
  <si>
    <t>L-Proline</t>
  </si>
  <si>
    <t xml:space="preserve">V900338 </t>
  </si>
  <si>
    <t xml:space="preserve">5-aminovaleric acid </t>
  </si>
  <si>
    <t>2-piperidone</t>
  </si>
  <si>
    <t xml:space="preserve">V209 </t>
  </si>
  <si>
    <t xml:space="preserve">DL5,000 DNA Marker </t>
  </si>
  <si>
    <t xml:space="preserve">TAKARA </t>
  </si>
  <si>
    <t>3428B</t>
  </si>
  <si>
    <t>isopropanol</t>
  </si>
  <si>
    <t>123-51-3</t>
  </si>
  <si>
    <t xml:space="preserve">Ampicillin  </t>
  </si>
  <si>
    <t xml:space="preserve">A100339 </t>
  </si>
  <si>
    <t xml:space="preserve">Kanamycin sulfate </t>
  </si>
  <si>
    <t>BBI</t>
  </si>
  <si>
    <t xml:space="preserve">A600286 </t>
  </si>
  <si>
    <t xml:space="preserve">Amresco  </t>
  </si>
  <si>
    <t>0408</t>
  </si>
  <si>
    <t>TE buffer</t>
  </si>
  <si>
    <t xml:space="preserve">B548106 </t>
  </si>
  <si>
    <t>nuclease-free water</t>
  </si>
  <si>
    <t>Thermo</t>
  </si>
  <si>
    <t>AM9938</t>
  </si>
  <si>
    <t>QIAquick Gel Extraction Kit</t>
  </si>
  <si>
    <t>Qiagen</t>
  </si>
  <si>
    <t>RNase</t>
  </si>
  <si>
    <t>Takara</t>
  </si>
  <si>
    <t>QIAquick PCR purification Kit</t>
  </si>
  <si>
    <t>End-it DNA End-repair Kit</t>
  </si>
  <si>
    <t>Epicentre</t>
  </si>
  <si>
    <t>ER0720</t>
  </si>
  <si>
    <t>Fast-Link DNA Ligation Kits</t>
  </si>
  <si>
    <t>LK0750H</t>
  </si>
  <si>
    <t xml:space="preserve">E.Z.N.A. Plasmid DNA mini KitΙ </t>
  </si>
  <si>
    <t>Omaga</t>
  </si>
  <si>
    <t>D6943-02</t>
  </si>
  <si>
    <t>Gut strain information</t>
  </si>
  <si>
    <t>Strain name</t>
  </si>
  <si>
    <t>Species</t>
  </si>
  <si>
    <t>Medium for culture</t>
  </si>
  <si>
    <t>Taxanomy</t>
  </si>
  <si>
    <t>Reference or source</t>
  </si>
  <si>
    <t>Citrobacter amalonaticus_USA_TW14.1_LFYP1</t>
  </si>
  <si>
    <t>Citrobacter amalonaticus</t>
  </si>
  <si>
    <t>LYHBHI</t>
  </si>
  <si>
    <t>Proteobacteria; Gammaproteobacteria</t>
  </si>
  <si>
    <t>Enterococcus casseliflavus_USA_TW14.1_LFYP2</t>
  </si>
  <si>
    <t>Enterococcus casseliflavus</t>
  </si>
  <si>
    <t>Firmicutes; Bacilli</t>
  </si>
  <si>
    <t>Clostridium tertium_USA_TW14.1_LFYP3</t>
  </si>
  <si>
    <t>Clostridium tertium</t>
  </si>
  <si>
    <t>Firmicutes; Clostridia</t>
  </si>
  <si>
    <t>Escherichia coli_USA_TW14.1_LFYP5</t>
  </si>
  <si>
    <t>Escherichia coli</t>
  </si>
  <si>
    <t>Streptococcus salivarius_USA_TW14.1_LFYP6</t>
  </si>
  <si>
    <t>Streptococcus salivarius</t>
  </si>
  <si>
    <t>Enterobacter massiliensis_USA_TW14.1_LFYP7</t>
  </si>
  <si>
    <t>Enterobacter massiliensis</t>
  </si>
  <si>
    <t>Clostridium innocuum_USA_TW14.1_LFYP12</t>
  </si>
  <si>
    <t>Clostridium innocuum</t>
  </si>
  <si>
    <t>Firmicutes; Erysipelotrichia</t>
  </si>
  <si>
    <t>Streptococcus parasanguinis_USA_TW14.1_LFYP13</t>
  </si>
  <si>
    <t>Streptococcus parasanguinis</t>
  </si>
  <si>
    <t>Bifidobacterium dentium_USA_TW14.1_LFYP24</t>
  </si>
  <si>
    <t>Bifidobacterium dentium</t>
  </si>
  <si>
    <t>Actinobacteria</t>
  </si>
  <si>
    <t>Staphylococcus simulans_USA_TW14.1_LFYP27</t>
  </si>
  <si>
    <t>Staphylococcus simulans</t>
  </si>
  <si>
    <t>Veillonella atypica_USA_TW14.1_LFYP47</t>
  </si>
  <si>
    <t>Veillonella atypica</t>
  </si>
  <si>
    <t>Clostridium butyricum_USA_TW14.1_LFYP62</t>
  </si>
  <si>
    <t>Clostridium butyricum</t>
  </si>
  <si>
    <t>Enterococcus faecium_USA_TW14.1_LFYP64</t>
  </si>
  <si>
    <t>Enterococcus faecium</t>
  </si>
  <si>
    <t>Klebsiella oxytoca_USA_TW14.1_LFYP65</t>
  </si>
  <si>
    <t>Klebsiella oxytoca</t>
  </si>
  <si>
    <t>Streptococcus lutetiensis_USA_TW14.1_LFYP71</t>
  </si>
  <si>
    <t>Streptococcus lutetiensis</t>
  </si>
  <si>
    <t>Staphylococcus aureus_USA_TW14.1_LFYP88</t>
  </si>
  <si>
    <t>Staphylococcus aureus</t>
  </si>
  <si>
    <t>Clostridium paraputrificum_USA_TW14.1_LFYP93</t>
  </si>
  <si>
    <t>Clostridium paraputrificum</t>
  </si>
  <si>
    <t>Veillonella dispar_USA_TW14.1_LFYP95</t>
  </si>
  <si>
    <t>Veillonella dispar</t>
  </si>
  <si>
    <t>Lactobacillus rhamnosus_USA_TW14.1_LFYP97</t>
  </si>
  <si>
    <t>Lactobacillus rhamnosus</t>
  </si>
  <si>
    <t>Clostridium bolteae_USA_TW14.1_LFYP116</t>
  </si>
  <si>
    <t>Clostridium bolteae</t>
  </si>
  <si>
    <r>
      <rPr>
        <sz val="11"/>
        <color theme="1"/>
        <rFont val="Arial"/>
        <family val="2"/>
      </rPr>
      <t>Firmicutes; Clostridia</t>
    </r>
    <r>
      <rPr>
        <sz val="11"/>
        <color theme="1"/>
        <rFont val="微软雅黑"/>
        <family val="2"/>
      </rPr>
      <t>；</t>
    </r>
    <r>
      <rPr>
        <sz val="11"/>
        <color theme="1"/>
        <rFont val="Arial"/>
        <family val="2"/>
      </rPr>
      <t>Lachnospiraceae; Enterocloster</t>
    </r>
  </si>
  <si>
    <t>Ruminococcus gnavus_USA_TW14.1_LFYP19</t>
  </si>
  <si>
    <t>Ruminococcus gnavus</t>
  </si>
  <si>
    <t>Parabacteroides distasonis_USA_TW14.1_LFYP31</t>
  </si>
  <si>
    <t>Parabacteroides distasonis</t>
  </si>
  <si>
    <t>Bacteroidetes</t>
  </si>
  <si>
    <t>Eubacterium limosum_USA_TW14.1_LFYP34</t>
  </si>
  <si>
    <t>Eubacterium limosum</t>
  </si>
  <si>
    <t>LYHBHI+Starch+Mucin</t>
  </si>
  <si>
    <t>Ruminococcus gnavus_USA_TW14.1_LFYP36</t>
  </si>
  <si>
    <t>Peptoclostridium difficile_USA_TW14.1_LFYP43</t>
  </si>
  <si>
    <t>Peptoclostridium difficile</t>
  </si>
  <si>
    <t>Collinsella intestinalis_USA_TW14.1_LFYP54</t>
  </si>
  <si>
    <t>Collinsella intestinalis</t>
  </si>
  <si>
    <t>Akkermansia muciniphila_USA_TW14.1_LFYP55</t>
  </si>
  <si>
    <t>Akkermansia muciniphila</t>
  </si>
  <si>
    <t>Verrucomicrobia</t>
  </si>
  <si>
    <t>Bifidobacterium adolescentis_USA_TW14.1_LFYP80</t>
  </si>
  <si>
    <t>Bifidobacterium adolescentis</t>
  </si>
  <si>
    <t>Bifidobacterium breve_USA_TW14.1_LFYP81</t>
  </si>
  <si>
    <t>Bifidobacterium breve</t>
  </si>
  <si>
    <t>Bifidobacterium longum_USA_TW14.1_LFYP82</t>
  </si>
  <si>
    <t>Bifidobacterium longum</t>
  </si>
  <si>
    <t>Clostridium ramosum_USA_TW14.1_LFYP8</t>
  </si>
  <si>
    <t>Clostridium ramosum</t>
  </si>
  <si>
    <t>Bacteroides intestinalis_USA_TW14.1_LFYP9</t>
  </si>
  <si>
    <t>Bacteroides intestinalis</t>
  </si>
  <si>
    <t>Bacteroides faecis_USA_TW14.1_LFYP10</t>
  </si>
  <si>
    <t>Bacteroides faecis</t>
  </si>
  <si>
    <t>Bacteroides vulgatus_USA_TW14.1_LFYP11</t>
  </si>
  <si>
    <t>Bacteroides vulgatus</t>
  </si>
  <si>
    <t>Clostridium hathewayi_USA_TW14.1_LFYP18</t>
  </si>
  <si>
    <t>Clostridium hathewayi</t>
  </si>
  <si>
    <r>
      <rPr>
        <sz val="11"/>
        <color theme="1"/>
        <rFont val="Arial"/>
        <family val="2"/>
      </rPr>
      <t>Firmicutes; Clostridia</t>
    </r>
    <r>
      <rPr>
        <sz val="11"/>
        <color theme="1"/>
        <rFont val="微软雅黑"/>
        <family val="2"/>
      </rPr>
      <t>；</t>
    </r>
    <r>
      <rPr>
        <sz val="11"/>
        <color theme="1"/>
        <rFont val="Arial"/>
        <family val="2"/>
      </rPr>
      <t>Clostridiaceae; Hungatella</t>
    </r>
  </si>
  <si>
    <t>Bacteroides caccae_USA_TW14.1_LFYP20</t>
  </si>
  <si>
    <t>Bacteroides caccae</t>
  </si>
  <si>
    <t>Blautia hansenii_USA_TW14.1_LFYP23</t>
  </si>
  <si>
    <t>Blautia hansenii</t>
  </si>
  <si>
    <r>
      <rPr>
        <sz val="11"/>
        <color theme="1"/>
        <rFont val="Arial"/>
        <family val="2"/>
      </rPr>
      <t>Firmicutes; Clostridia</t>
    </r>
    <r>
      <rPr>
        <sz val="11"/>
        <color theme="1"/>
        <rFont val="微软雅黑"/>
        <family val="2"/>
      </rPr>
      <t>；</t>
    </r>
    <r>
      <rPr>
        <sz val="11"/>
        <color theme="1"/>
        <rFont val="Arial"/>
        <family val="2"/>
      </rPr>
      <t>Eubacteriales; Lachnospiraceae; Blautia</t>
    </r>
  </si>
  <si>
    <t>Bacteroides ovatus_USA_TW14.1_LFYP28</t>
  </si>
  <si>
    <t>Bacteroides ovatus</t>
  </si>
  <si>
    <t>Clostridium bartlettii_USA_TW14.1_LFYP30</t>
  </si>
  <si>
    <t>Clostridium bartlettii</t>
  </si>
  <si>
    <r>
      <rPr>
        <sz val="11"/>
        <color theme="1"/>
        <rFont val="Arial"/>
        <family val="2"/>
      </rPr>
      <t>Firmicutes; Clostridia</t>
    </r>
    <r>
      <rPr>
        <sz val="11"/>
        <color theme="1"/>
        <rFont val="微软雅黑"/>
        <family val="2"/>
      </rPr>
      <t>；</t>
    </r>
    <r>
      <rPr>
        <sz val="11"/>
        <color theme="1"/>
        <rFont val="Arial"/>
        <family val="2"/>
      </rPr>
      <t>Eubacteriales; Peptostreptococcaceae; Intestinibacter</t>
    </r>
  </si>
  <si>
    <t>Bacteroides uniformis_USA_TW14.1_LFYP32</t>
  </si>
  <si>
    <t>Bacteroides uniformis</t>
  </si>
  <si>
    <t>Veillonella ratti_USA_TW14.1_LFYP33</t>
  </si>
  <si>
    <t>Veillonella ratti</t>
  </si>
  <si>
    <t>Firmicutes; Negativicutes</t>
  </si>
  <si>
    <t>Collinsella aerofaciens_USA_TW14.1_LFYP39</t>
  </si>
  <si>
    <t>Collinsella aerofaciens</t>
  </si>
  <si>
    <t>Clostridiales undefined_USA_TW14.1_LFYP50</t>
  </si>
  <si>
    <t>Clostridiales undefined</t>
  </si>
  <si>
    <t>Clostridium symbiosum_USA_TW14.1_LFYP84</t>
  </si>
  <si>
    <t>Clostridium symbiosum</t>
  </si>
  <si>
    <t>Veillonella parvula_USA_TW14.1_LFYP99</t>
  </si>
  <si>
    <t>Veillonella parvula</t>
  </si>
  <si>
    <t>Eggerthella lenta_USA_TW14.1_LFYP107</t>
  </si>
  <si>
    <t>Eggerthella lenta</t>
  </si>
  <si>
    <t>Anaerostipes caccae_USA_TW14.1_LFYP115</t>
  </si>
  <si>
    <t>Anaerostipes caccae</t>
  </si>
  <si>
    <t>Blautia undefined_USA_TW14.1_LFYP118</t>
  </si>
  <si>
    <t>Blautia undefined</t>
  </si>
  <si>
    <t>Blautia glucerasea_USA_TW14.1_LFYP119</t>
  </si>
  <si>
    <t>Blautia glucerasea</t>
  </si>
  <si>
    <t>Clostridiales undefined_USA_TW14.1_LFYP120</t>
  </si>
  <si>
    <t>Paraprevotella clara_USA_TW14.1_LFYP37</t>
  </si>
  <si>
    <t>Paraprevotella clara</t>
  </si>
  <si>
    <r>
      <rPr>
        <i/>
        <sz val="11"/>
        <color theme="1"/>
        <rFont val="Arial"/>
        <family val="2"/>
      </rPr>
      <t>E.coli</t>
    </r>
    <r>
      <rPr>
        <sz val="11"/>
        <color theme="1"/>
        <rFont val="Arial"/>
        <family val="2"/>
      </rPr>
      <t xml:space="preserve"> strain information</t>
    </r>
  </si>
  <si>
    <t>Relevant information</t>
  </si>
  <si>
    <r>
      <rPr>
        <i/>
        <sz val="11"/>
        <color theme="1"/>
        <rFont val="Arial"/>
        <family val="2"/>
      </rPr>
      <t>E.coli</t>
    </r>
    <r>
      <rPr>
        <sz val="12"/>
        <color theme="1"/>
        <rFont val="Arial"/>
        <family val="2"/>
      </rPr>
      <t xml:space="preserve"> DH10B</t>
    </r>
  </si>
  <si>
    <t>F– mcrA Δ(mrr-hsdRMS-mcrBC) φ80lacZΔM15 ΔlacX74 recA1 endA1 araD139 Δ (ara-leu)7697 galU galK λ– rpsL(StrR) nupG</t>
  </si>
  <si>
    <t>ZQD2</t>
  </si>
  <si>
    <r>
      <rPr>
        <i/>
        <sz val="11"/>
        <color theme="1"/>
        <rFont val="Arial"/>
        <family val="2"/>
      </rPr>
      <t>E.coli</t>
    </r>
    <r>
      <rPr>
        <sz val="12"/>
        <color theme="1"/>
        <rFont val="Arial"/>
        <family val="2"/>
      </rPr>
      <t xml:space="preserve"> DH10B</t>
    </r>
    <r>
      <rPr>
        <sz val="11"/>
        <color theme="1"/>
        <rFont val="Arial"/>
        <family val="2"/>
      </rPr>
      <t xml:space="preserve"> with pLacSens and negative control plasmid</t>
    </r>
  </si>
  <si>
    <t>ZQD3</t>
  </si>
  <si>
    <r>
      <rPr>
        <i/>
        <sz val="11"/>
        <color theme="1"/>
        <rFont val="Arial"/>
        <family val="2"/>
      </rPr>
      <t>E.coli</t>
    </r>
    <r>
      <rPr>
        <sz val="12"/>
        <color theme="1"/>
        <rFont val="Arial"/>
        <family val="2"/>
      </rPr>
      <t xml:space="preserve"> DH10B</t>
    </r>
    <r>
      <rPr>
        <sz val="11"/>
        <color theme="1"/>
        <rFont val="Arial"/>
        <family val="2"/>
      </rPr>
      <t xml:space="preserve"> with pLacSens and positive control plasmid</t>
    </r>
  </si>
  <si>
    <t>Plasmids</t>
  </si>
  <si>
    <t>pEVS143</t>
  </si>
  <si>
    <t>Cloning vector, Kanr</t>
  </si>
  <si>
    <t>This study</t>
  </si>
  <si>
    <t>pZE12</t>
  </si>
  <si>
    <t>Cloning vector, Ampr</t>
  </si>
  <si>
    <t>biosensor plasmid (pLacsens)</t>
  </si>
  <si>
    <r>
      <rPr>
        <sz val="11"/>
        <color theme="1"/>
        <rFont val="Arial"/>
        <family val="2"/>
      </rPr>
      <t>oriV p15A,</t>
    </r>
    <r>
      <rPr>
        <i/>
        <sz val="11"/>
        <color theme="1"/>
        <rFont val="Arial"/>
        <family val="2"/>
      </rPr>
      <t xml:space="preserve"> oriT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oplR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gfp</t>
    </r>
    <r>
      <rPr>
        <sz val="11"/>
        <color theme="1"/>
        <rFont val="Arial"/>
        <family val="2"/>
      </rPr>
      <t>, Kanr</t>
    </r>
  </si>
  <si>
    <t>negative control plasmid</t>
  </si>
  <si>
    <t>ColE1, PLlacO1, Ampr</t>
  </si>
  <si>
    <t>positive control plasmid</t>
  </si>
  <si>
    <t>ColE1, PLlacO1, inserted ORF26 gene, Ampr</t>
  </si>
  <si>
    <t>Primer  No</t>
  </si>
  <si>
    <t>Primer name</t>
  </si>
  <si>
    <t>Orientation</t>
  </si>
  <si>
    <r>
      <rPr>
        <b/>
        <sz val="10"/>
        <color theme="1"/>
        <rFont val="Arial"/>
        <family val="2"/>
      </rPr>
      <t>Sequence (5</t>
    </r>
    <r>
      <rPr>
        <b/>
        <sz val="10"/>
        <color theme="1"/>
        <rFont val="Symbol"/>
        <family val="1"/>
        <charset val="2"/>
      </rPr>
      <t>¢®</t>
    </r>
    <r>
      <rPr>
        <b/>
        <sz val="10"/>
        <color theme="1"/>
        <rFont val="Arial"/>
        <family val="2"/>
      </rPr>
      <t>3</t>
    </r>
    <r>
      <rPr>
        <b/>
        <sz val="10"/>
        <color theme="1"/>
        <rFont val="Symbol"/>
        <family val="1"/>
        <charset val="2"/>
      </rPr>
      <t>¢</t>
    </r>
    <r>
      <rPr>
        <b/>
        <sz val="10"/>
        <color theme="1"/>
        <rFont val="Arial"/>
        <family val="2"/>
      </rPr>
      <t>)</t>
    </r>
    <r>
      <rPr>
        <b/>
        <i/>
        <vertAlign val="superscript"/>
        <sz val="10"/>
        <color theme="1"/>
        <rFont val="Arial"/>
        <family val="2"/>
      </rPr>
      <t>c</t>
    </r>
  </si>
  <si>
    <t>primer 1</t>
  </si>
  <si>
    <t>pEVS143 LD F</t>
  </si>
  <si>
    <t>Forward</t>
  </si>
  <si>
    <t>atggctagcaaaggagaagaac</t>
  </si>
  <si>
    <t>primer 2</t>
  </si>
  <si>
    <t>pEVS143 LD R</t>
  </si>
  <si>
    <t>Reverse</t>
  </si>
  <si>
    <t>gttggccgattcattaatgcag</t>
  </si>
  <si>
    <t>primer 3</t>
  </si>
  <si>
    <t xml:space="preserve">pZE12 LD F </t>
  </si>
  <si>
    <t>tctagaggcatcaaataaaacgaaaggctc</t>
  </si>
  <si>
    <t>primer 4</t>
  </si>
  <si>
    <t xml:space="preserve">pZE12 LD R </t>
  </si>
  <si>
    <t>ggtacctttctcctctttaatgaattctgtgc</t>
  </si>
  <si>
    <t>primer 5</t>
  </si>
  <si>
    <t>pZE12 NC F1</t>
  </si>
  <si>
    <t>atgcttaatcagtgaggcacctatctc</t>
  </si>
  <si>
    <t>primer 6</t>
  </si>
  <si>
    <t>pZE12 NC R1</t>
  </si>
  <si>
    <t>ttttatttgatgcctctagaggtacctttctcctctttaatgaattctgtg</t>
  </si>
  <si>
    <t>primer 7</t>
  </si>
  <si>
    <t>pZE12 NC F2</t>
  </si>
  <si>
    <t>primer 8</t>
  </si>
  <si>
    <t>pZE12 NC R2</t>
  </si>
  <si>
    <t>gtgcctcactgattaagcattggtaac</t>
  </si>
  <si>
    <t>primer 9</t>
  </si>
  <si>
    <t xml:space="preserve"> pZE12_54_00697-F</t>
  </si>
  <si>
    <t>TTAAAGAGGAGAAAGGTACCatgggtaagaagtatgcaatcgt</t>
  </si>
  <si>
    <t>primer 10</t>
  </si>
  <si>
    <t>pZE12_54_00697-R</t>
  </si>
  <si>
    <t>TTTTATTTGATGCCTCTAGAttactcggagtacttgttgccct</t>
  </si>
  <si>
    <t>primer 11</t>
  </si>
  <si>
    <t>pZE12_39_00071-F</t>
  </si>
  <si>
    <t>TTTTATTTGATGCCTCTAGAttaggcgctgtatttgttggcctc</t>
  </si>
  <si>
    <t>primer 12</t>
  </si>
  <si>
    <t>pZE12_39_00071-R</t>
  </si>
  <si>
    <t>TTAAAGAGGAGAAAGGTACCatgtccactcagtatgcaatcgttg</t>
  </si>
  <si>
    <t>primer 13</t>
  </si>
  <si>
    <t>pZE12_18_04700-F</t>
  </si>
  <si>
    <t>TTTTATTTGATGCCTCTAGAttagtggcgttttacgaaacgtc</t>
  </si>
  <si>
    <t>primer 14</t>
  </si>
  <si>
    <t>pZE12_18_04700-R</t>
  </si>
  <si>
    <t>TTAAAGAGGAGAAAGGTACCatgaagaaagaattaaaagataccgcatttg</t>
  </si>
  <si>
    <t>primer 15</t>
  </si>
  <si>
    <t>pZE12_116_02895-F</t>
  </si>
  <si>
    <t>TTAAAGAGGAGAAAGGTACCatgaagaaggtagcttttaaaggcg</t>
  </si>
  <si>
    <t>primer 16</t>
  </si>
  <si>
    <t>pZE12_116_02895-R</t>
  </si>
  <si>
    <t>TTTTATTTGATGCCTCTAGAtcagcgttttacaaaatatccttctttcatg</t>
  </si>
  <si>
    <t>primer 17</t>
  </si>
  <si>
    <t>pZE12_2931-F</t>
  </si>
  <si>
    <t>TTAAAGAGGAGAAAGGTACCtccatcgtgctcggctggct</t>
  </si>
  <si>
    <t>primer 18</t>
  </si>
  <si>
    <t>pZE12_2931-R</t>
  </si>
  <si>
    <t>TTTTATTTGATGCCTCTAGAtaccgtcatccgtctcaagggagga</t>
  </si>
  <si>
    <t>primer 19</t>
  </si>
  <si>
    <t>pZE12_ypdA-F</t>
  </si>
  <si>
    <t>TTAAAGAGGAGAAAGGTACCatgaatgtcaaaaaggtaggtgt</t>
  </si>
  <si>
    <t>primer 20</t>
  </si>
  <si>
    <t>pZE12_ypdA-R</t>
  </si>
  <si>
    <t>TTTTATTTGATGCCTCTAGAcacagtcagggccttagtgta</t>
  </si>
  <si>
    <t>primer 21</t>
  </si>
  <si>
    <t>pLacSens-F1</t>
  </si>
  <si>
    <t>aatatggctcataacaccccttg</t>
  </si>
  <si>
    <t>primer 22</t>
  </si>
  <si>
    <t>pLacSens-R1</t>
  </si>
  <si>
    <t>aggatccaaactcgagtaaggatc</t>
  </si>
  <si>
    <t>primer 23</t>
  </si>
  <si>
    <t>pLacSens-F2</t>
  </si>
  <si>
    <t>aggataggtgaagtaggcccac</t>
  </si>
  <si>
    <t>primer 24</t>
  </si>
  <si>
    <t>pLacSens-R2</t>
  </si>
  <si>
    <t>agccacgttgtgtctcaaaatc</t>
  </si>
  <si>
    <t>primer 25</t>
  </si>
  <si>
    <t>pLacSens-F3</t>
  </si>
  <si>
    <t>gacagatgttggggcaatagttg</t>
  </si>
  <si>
    <t>primer 26</t>
  </si>
  <si>
    <t>pLacSens-R3</t>
  </si>
  <si>
    <t>aaggcagtacaccttgataggtg</t>
  </si>
  <si>
    <t>primer 27</t>
  </si>
  <si>
    <t>test_Production-F</t>
  </si>
  <si>
    <t>aagtgccacctgacgtctaagaaac</t>
  </si>
  <si>
    <t>primer 28</t>
  </si>
  <si>
    <t>test_Production-R</t>
  </si>
  <si>
    <t>cctttgagtgagctgataccgctc</t>
  </si>
  <si>
    <t>Synthetic DNA Fragment No</t>
  </si>
  <si>
    <t xml:space="preserve"> Fragment Name</t>
  </si>
  <si>
    <t xml:space="preserve">Nucleotide Sequence/ Gene Locus  </t>
  </si>
  <si>
    <t>synthetic DNA fragment 1</t>
  </si>
  <si>
    <t>&gt;1 gcattaatgaatcggccaactataaacgcagaaaggcccacccgaaggtgagccagtgtgactctagtagagagcgttcaccgacaaacaacagataaaacgaaaggcccagtctttcgactgagcctttcgttttatttgatgcctggagatccttactcgagtttggatcctcagtgcgtacgcgtagcccgcacttcgctcgccgtgcacccatactgctggcgaaacgcgcgggtgaattgcgcctggtcggcaaaaccccagcgaaatgccagttcgccgatggccaggtggcaatgcgggtcgcgcagttgccggtgcacggcctccaggcgttgaaggcgtacccactcattaagggtgtagggcgtgatcgcgaacagcttgtgcagataacgcagcgacagcccacaggcgccggcgatggtttgtggcgacagctcggggtcacccaggttttgctgcacgtactgctcgacccgcgtcaggtgcagggtgctgaggttgctgccttcgctgcccagcacgcgctcatcctgctgcaaggccagcagcagggtggcggaggcctgttccagcagtaaatgccgggctgccggggggctggtgtcgaaatggcgggcacacaggtcgagttgctcgacgaagatgcgccccaggccctgacgggcgtcgaagcaatgccgggtatagcgcttgtgccccagcaggttggctttgagcgcacgctcgggcagcttgagcacccacaagtcgttctgcgtgccgtagtggaagcggtagggtgcatcgccgcgctcgacgatgaaaccgcccgggctgcaactgatctggtggccgtcctgttcaaagtgcacctcgctgccatgcggcacggtcaccaggtagaacgcttcatggtcctggccgatgtgcgctttgctgcgtgagtaacccagctggctggaccgcaggcgcgacaggctgagcggcgtgctcggcgtactccagcgctgcaggtggccatcgaacggctgtccggcagcaaattcaaggctcaatgggaaataggtgtcactgatggcttcggcccagcgtacctggcgctctggctgtggccagccgtgggtcgagagttctgtgggcatatgtatatctccttcttaaagctagcatagtacctaggactgagctagccgtaaatgcaccattcgatggtgtcaacgtaaatgccgcttcgccttcgcgcgcgaattgcaagctgatccgggcttatcgactgcacggtgcaccaatgcttctggcgtcaggcagccatcggaagctgtggtatggctgtgcaggtcgtaaatcactgcataattcgtgtcgctcaaggcgcactcccgttctggataatgttttttgcgccgacatcataacggttctttggggccggccgggcaatggctggtgcgacagatgttggggcaatagttgtgtcgcctgcccgaacttgaagtgcgcccagacacaacaaccggtacacccagcgacaagccttccccccaccccgccccttagcctgtcaccacgcgccgccccgccgcggcacgcacctaaagcacaagaacaaacgttggtgaccttttaagaaggagatatacatatggctagcaaaggagaaga</t>
  </si>
  <si>
    <t>orf26</t>
  </si>
  <si>
    <t>AY899214.1:145818-147230</t>
  </si>
  <si>
    <t>act</t>
  </si>
  <si>
    <t>AJ715482.1:1952..3145</t>
  </si>
  <si>
    <t>caiC</t>
  </si>
  <si>
    <r>
      <rPr>
        <sz val="10"/>
        <color theme="1"/>
        <rFont val="Arial"/>
        <family val="2"/>
      </rPr>
      <t>CP134918.1</t>
    </r>
    <r>
      <rPr>
        <sz val="10"/>
        <color theme="1"/>
        <rFont val="宋体"/>
      </rPr>
      <t>：</t>
    </r>
    <r>
      <rPr>
        <sz val="10"/>
        <color theme="1"/>
        <rFont val="Arial"/>
        <family val="2"/>
      </rPr>
      <t>3983203-3984723</t>
    </r>
  </si>
  <si>
    <t xml:space="preserve">B5F33_RS00400 </t>
  </si>
  <si>
    <t>NZ_NFJW01000001.1:87702-88985</t>
  </si>
  <si>
    <t>INP52_RS09000</t>
  </si>
  <si>
    <t>NZ_CP063767.1:1980149-1981399</t>
  </si>
  <si>
    <t>HMPREF1493_RS05260</t>
  </si>
  <si>
    <t>NZ_JDFH01000019.1:5301-6548</t>
  </si>
  <si>
    <t>B5D14_RS08125</t>
  </si>
  <si>
    <t>NZ_FUWY01000004.1:254865-256106</t>
  </si>
  <si>
    <t>CC89_RS15110</t>
  </si>
  <si>
    <t>NZ_JQMW01000011.1:1393851-1395092</t>
  </si>
  <si>
    <t>C18 positive mode</t>
  </si>
  <si>
    <t>Parameters</t>
  </si>
  <si>
    <t>Conditions</t>
  </si>
  <si>
    <t>LC-MS/MS</t>
  </si>
  <si>
    <t>Shimadzu LC with AB SCIEX 4000 Q-Trap</t>
  </si>
  <si>
    <t>Column</t>
  </si>
  <si>
    <r>
      <rPr>
        <sz val="9"/>
        <color theme="1"/>
        <rFont val="Arial"/>
        <family val="2"/>
      </rPr>
      <t xml:space="preserve"> Ultimate 5-μm particle size </t>
    </r>
    <r>
      <rPr>
        <sz val="9"/>
        <color theme="1"/>
        <rFont val="微软雅黑"/>
        <family val="2"/>
      </rPr>
      <t>AQ-</t>
    </r>
    <r>
      <rPr>
        <sz val="9"/>
        <color theme="1"/>
        <rFont val="Arial"/>
        <family val="2"/>
      </rPr>
      <t>C18</t>
    </r>
    <r>
      <rPr>
        <sz val="9"/>
        <color theme="1"/>
        <rFont val="微软雅黑"/>
        <family val="2"/>
      </rPr>
      <t xml:space="preserve"> HPLC</t>
    </r>
    <r>
      <rPr>
        <sz val="9"/>
        <color theme="1"/>
        <rFont val="Arial"/>
        <family val="2"/>
      </rPr>
      <t xml:space="preserve"> column (2</t>
    </r>
    <r>
      <rPr>
        <sz val="9"/>
        <color theme="1"/>
        <rFont val="微软雅黑"/>
        <family val="2"/>
      </rPr>
      <t>.1</t>
    </r>
    <r>
      <rPr>
        <sz val="9"/>
        <color theme="1"/>
        <rFont val="Arial"/>
        <family val="2"/>
      </rPr>
      <t>× 250 mm)</t>
    </r>
  </si>
  <si>
    <t>Gradient</t>
  </si>
  <si>
    <t>Time (min)</t>
  </si>
  <si>
    <t>A (%) 0.1% formic acid in water</t>
  </si>
  <si>
    <t>B (%) 0.1% formic acid in 100% acetonitrile</t>
  </si>
  <si>
    <t>Flow rate</t>
  </si>
  <si>
    <t>Injection volume</t>
  </si>
  <si>
    <t>Column temperature</t>
  </si>
  <si>
    <t>25°C</t>
  </si>
  <si>
    <t>Ionization mode</t>
  </si>
  <si>
    <t>ESI, positive mode</t>
  </si>
  <si>
    <t>source temperature</t>
  </si>
  <si>
    <t>curtain gas (CUR)</t>
  </si>
  <si>
    <t>collision gas (CAD)</t>
  </si>
  <si>
    <t>Medium</t>
  </si>
  <si>
    <t>IonSpray Voltage</t>
  </si>
  <si>
    <t>Ion Source Gas 1 (GS1)</t>
  </si>
  <si>
    <t>Ion Source Gas 2 (GS2)</t>
  </si>
  <si>
    <t xml:space="preserve">Conditions </t>
  </si>
  <si>
    <t>Shimadzu LC with  AB SCIEX Q-Trap 6500</t>
  </si>
  <si>
    <r>
      <rPr>
        <sz val="9"/>
        <color theme="1"/>
        <rFont val="Arial"/>
        <family val="2"/>
      </rPr>
      <t xml:space="preserve"> Ultimate 5-μm particle size </t>
    </r>
    <r>
      <rPr>
        <sz val="9"/>
        <color theme="1"/>
        <rFont val="微软雅黑"/>
        <family val="2"/>
      </rPr>
      <t>AQ-</t>
    </r>
    <r>
      <rPr>
        <sz val="9"/>
        <color theme="1"/>
        <rFont val="Arial"/>
        <family val="2"/>
      </rPr>
      <t xml:space="preserve">C18 </t>
    </r>
    <r>
      <rPr>
        <sz val="9"/>
        <color theme="1"/>
        <rFont val="微软雅黑"/>
        <family val="2"/>
      </rPr>
      <t xml:space="preserve">HPLC </t>
    </r>
    <r>
      <rPr>
        <sz val="9"/>
        <color theme="1"/>
        <rFont val="Arial"/>
        <family val="2"/>
      </rPr>
      <t>column (2</t>
    </r>
    <r>
      <rPr>
        <sz val="9"/>
        <color theme="1"/>
        <rFont val="微软雅黑"/>
        <family val="2"/>
      </rPr>
      <t>.1</t>
    </r>
    <r>
      <rPr>
        <sz val="9"/>
        <color theme="1"/>
        <rFont val="Arial"/>
        <family val="2"/>
      </rPr>
      <t>× 250 mm)</t>
    </r>
  </si>
  <si>
    <t>Q1 Mass (Da)</t>
  </si>
  <si>
    <t>Q3 Mass (Da)</t>
  </si>
  <si>
    <t>Time (msec)</t>
  </si>
  <si>
    <t>DP (volts)</t>
  </si>
  <si>
    <t>CE (volts)</t>
  </si>
  <si>
    <t>CXP (volts)</t>
  </si>
  <si>
    <t>Retention time (min)</t>
  </si>
  <si>
    <t>5-aminovaleraic acid</t>
  </si>
  <si>
    <t>proline</t>
  </si>
  <si>
    <t>Scientific Name</t>
  </si>
  <si>
    <t>Phylum</t>
  </si>
  <si>
    <t>Family</t>
  </si>
  <si>
    <t>Isolation source</t>
  </si>
  <si>
    <t>Category</t>
  </si>
  <si>
    <t>Total Score</t>
  </si>
  <si>
    <t>Query Cover</t>
  </si>
  <si>
    <t>E value</t>
  </si>
  <si>
    <t>Per. ident</t>
  </si>
  <si>
    <t>Acc. Len</t>
  </si>
  <si>
    <t xml:space="preserve">Accession  </t>
  </si>
  <si>
    <t>[Clostridium] dakarense</t>
  </si>
  <si>
    <t> Bacillota</t>
  </si>
  <si>
    <t>Clostridiaceae</t>
  </si>
  <si>
    <t>human feces</t>
  </si>
  <si>
    <t>Gastrointestinal tract</t>
  </si>
  <si>
    <t>Acetonema longum</t>
  </si>
  <si>
    <t>Sporomusaceae</t>
  </si>
  <si>
    <t>gut contents of the wood-feeding termite Pterotermes occidentis</t>
  </si>
  <si>
    <t>Acidaminococcaceae bacterium</t>
  </si>
  <si>
    <t>Acidaminococcaceae</t>
  </si>
  <si>
    <t>Aminipila luticellarii</t>
  </si>
  <si>
    <t>Eubacteriales Family XIII. Incertae Sedis</t>
  </si>
  <si>
    <t>the pit mud of strong aromatic Chinese liquor</t>
  </si>
  <si>
    <t>Engineered</t>
  </si>
  <si>
    <t>Anaerophilus nitritogenes</t>
  </si>
  <si>
    <t xml:space="preserve">salt lake sediment in Xinjiang Province, China </t>
  </si>
  <si>
    <t>Environmental</t>
  </si>
  <si>
    <t>Anaerorhabdus furcosa</t>
  </si>
  <si>
    <t>Erysipelotrichaceae</t>
  </si>
  <si>
    <t xml:space="preserve">mud snails </t>
  </si>
  <si>
    <t>Anaerosalibacter sp. Marseille-P3206</t>
  </si>
  <si>
    <t>Sporanaerobacteraceae</t>
  </si>
  <si>
    <t>Anaerovorax odorimutans</t>
  </si>
  <si>
    <t>brackish water sediment</t>
  </si>
  <si>
    <t>Atopobiaceae</t>
  </si>
  <si>
    <t>Actinomycetota</t>
  </si>
  <si>
    <t xml:space="preserve">Atopobiaceae </t>
  </si>
  <si>
    <t>human oral or gut microbiota</t>
  </si>
  <si>
    <t>Atopobium deltae</t>
  </si>
  <si>
    <t>blood of a patient with Fournier’s gangrene</t>
  </si>
  <si>
    <t>infection</t>
  </si>
  <si>
    <t>Atopobium fossor</t>
  </si>
  <si>
    <t>horse, submandilar abscess</t>
  </si>
  <si>
    <t>Atopobium minutum</t>
  </si>
  <si>
    <t>a perineal abscess</t>
  </si>
  <si>
    <t>Atopobium sp.</t>
  </si>
  <si>
    <t>human oral</t>
  </si>
  <si>
    <t>Atopobium sp. BS2</t>
  </si>
  <si>
    <t>the gut of a termite</t>
  </si>
  <si>
    <t>Atopobium sp. ICM42b</t>
  </si>
  <si>
    <t>the gut of a termite </t>
  </si>
  <si>
    <t>Atopobium sp. oral taxon 199</t>
  </si>
  <si>
    <t>human oral cavity </t>
  </si>
  <si>
    <t>Bacteroidales bacterium MSK.15.36</t>
  </si>
  <si>
    <t>Bacteroidota</t>
  </si>
  <si>
    <t>unclassified Bacteroidales</t>
  </si>
  <si>
    <t>Bifidobacterium scardovii</t>
  </si>
  <si>
    <t>Bifidobacteriaceae</t>
  </si>
  <si>
    <t>Bifidobacterium vespertilionis</t>
  </si>
  <si>
    <t>the feces of Rousettus aegyptiacus</t>
  </si>
  <si>
    <t>Blautia coccoides</t>
  </si>
  <si>
    <t>Lachnospiraceae</t>
  </si>
  <si>
    <t>mouse feces</t>
  </si>
  <si>
    <t>Blautia marasmi</t>
  </si>
  <si>
    <t>Blautia producta</t>
  </si>
  <si>
    <t>Blautia schinkii</t>
  </si>
  <si>
    <t>the rumen of suckling lamb</t>
  </si>
  <si>
    <t>Blautia sp.</t>
  </si>
  <si>
    <t>Porpoise lung</t>
  </si>
  <si>
    <t>Blautia sp. NSJ-175</t>
  </si>
  <si>
    <t>Boudabousia marimammalium</t>
  </si>
  <si>
    <t>Actinomycetaceae</t>
  </si>
  <si>
    <t>Brotomerdimonas butyrica</t>
  </si>
  <si>
    <t>Eubacteriales incertae sedis;</t>
  </si>
  <si>
    <t>Candidatus Avacidaminococcus intestinavium</t>
  </si>
  <si>
    <t>Acidaminococcaceae incertae sedis</t>
  </si>
  <si>
    <t>chicken gut</t>
  </si>
  <si>
    <t>Candidatus Collinsella stercoripullorum</t>
  </si>
  <si>
    <t>Coriobacteriaceae</t>
  </si>
  <si>
    <t>Candidatus Copromorpha excrementipullorum</t>
  </si>
  <si>
    <t>Eubacteriaceae</t>
  </si>
  <si>
    <t>Candidatus Fournierella pullicola</t>
  </si>
  <si>
    <t>Oscillospiraceae</t>
  </si>
  <si>
    <t>Candidatus Gemmiger excrementigallinarum</t>
  </si>
  <si>
    <t>Eubacteriales incertae sedis</t>
  </si>
  <si>
    <t>Caproiciproducens galactitolivorans</t>
  </si>
  <si>
    <t>the wastewater treatment plant</t>
  </si>
  <si>
    <t>Clostridiaceae bacterium 14S0207</t>
  </si>
  <si>
    <t>soil</t>
  </si>
  <si>
    <t>Clostridiisalibacter paucivorans</t>
  </si>
  <si>
    <t>the mud of olive mill wastewater evaporation pond</t>
  </si>
  <si>
    <t>Clostridium amazonitimonense</t>
  </si>
  <si>
    <t>Clostridium aminobutyricum</t>
  </si>
  <si>
    <t>the mud in a North Carolina swamp</t>
  </si>
  <si>
    <t>Clostridium cavendishii</t>
  </si>
  <si>
    <t>the contaminated groundwater in the United States</t>
  </si>
  <si>
    <t>Clostridium chauvoei</t>
  </si>
  <si>
    <t>muscular tissue of animals</t>
  </si>
  <si>
    <t>muscle</t>
  </si>
  <si>
    <t>Clostridium cochlearium</t>
  </si>
  <si>
    <t>Clostridium collagenovorans</t>
  </si>
  <si>
    <t>sewage sludge in the United States</t>
  </si>
  <si>
    <t>Clostridium culturomicium</t>
  </si>
  <si>
    <t>the stool of an obese patient</t>
  </si>
  <si>
    <t>Clostridium ihumii</t>
  </si>
  <si>
    <t>the stool sample of a human with anorexia nervosa</t>
  </si>
  <si>
    <t>Clostridium lundense</t>
  </si>
  <si>
    <t>a cow rumen</t>
  </si>
  <si>
    <t>Clostridium mobile</t>
  </si>
  <si>
    <t>Clostridium rectalis</t>
  </si>
  <si>
    <t>rectum</t>
  </si>
  <si>
    <t>Clostridium senegalense</t>
  </si>
  <si>
    <t>Clostridium simiarum</t>
  </si>
  <si>
    <t>monkey feces</t>
  </si>
  <si>
    <t>Clostridium sp.</t>
  </si>
  <si>
    <t>Clostridium sp. CCUG 7971</t>
  </si>
  <si>
    <t>industrial product</t>
  </si>
  <si>
    <t>Clostridium sp. Cult2</t>
  </si>
  <si>
    <t>unknown</t>
  </si>
  <si>
    <t>Clostridium sp. Cult3</t>
  </si>
  <si>
    <t>Clostridium sp. KNHs214</t>
  </si>
  <si>
    <t>Clostridium sulfidigenes</t>
  </si>
  <si>
    <t>pond sediment</t>
  </si>
  <si>
    <t>Clostridium tetani</t>
  </si>
  <si>
    <t>soil and animal feces</t>
  </si>
  <si>
    <t>Environmental/Gastrointestinal tract</t>
  </si>
  <si>
    <t>Clostridium tetanomorphum</t>
  </si>
  <si>
    <t>Clostridium uliginosum</t>
  </si>
  <si>
    <t>acidic peat bog</t>
  </si>
  <si>
    <t>Clostridium weizhouense</t>
  </si>
  <si>
    <t>activated sludge of petroleum wastewater</t>
  </si>
  <si>
    <t>Collinsella acetigenes</t>
  </si>
  <si>
    <t>Collinsella bouchesdurhonensis</t>
  </si>
  <si>
    <t>Collinsella ihumii</t>
  </si>
  <si>
    <t>Collinsella phocaeensis</t>
  </si>
  <si>
    <t>Collinsella provencensis</t>
  </si>
  <si>
    <t>Collinsella sp.</t>
  </si>
  <si>
    <t>Collinsella sp. 4_8_47FAA</t>
  </si>
  <si>
    <t>Industry</t>
  </si>
  <si>
    <t>Collinsella sp. AF02-46-1</t>
  </si>
  <si>
    <t>Collinsella sp. AF08-23</t>
  </si>
  <si>
    <t>Collinsella sp. AF11-11</t>
  </si>
  <si>
    <t>Collinsella sp. AF15-51</t>
  </si>
  <si>
    <t>Collinsella sp. AF28-5AC</t>
  </si>
  <si>
    <t>Collinsella sp. AF31-11</t>
  </si>
  <si>
    <t>Collinsella sp. AM16-21</t>
  </si>
  <si>
    <t>Collinsella sp. AM20-15AC</t>
  </si>
  <si>
    <t>Collinsella sp. AM28-11LB</t>
  </si>
  <si>
    <t>Collinsella sp. AM33-4BH</t>
  </si>
  <si>
    <t>Collinsella sp. AM36-4AA</t>
  </si>
  <si>
    <t>Collinsella sp. AM41-2BH</t>
  </si>
  <si>
    <t>Collinsella sp. AM43-1</t>
  </si>
  <si>
    <t>Collinsella sp. An2</t>
  </si>
  <si>
    <t>chicken gut anaerobes</t>
  </si>
  <si>
    <t>Collinsella sp. CAG:166</t>
  </si>
  <si>
    <t>Collinsella sp. CAG:289</t>
  </si>
  <si>
    <t>Collinsella sp. OF02-10</t>
  </si>
  <si>
    <t>Collinsella sp. OM06-18AC</t>
  </si>
  <si>
    <t>Collinsella sp. OM08-14AT</t>
  </si>
  <si>
    <t>Collinsella sp. TF07-1</t>
  </si>
  <si>
    <t>Collinsella sp. zg1085</t>
  </si>
  <si>
    <t>Collinsella stercoris</t>
  </si>
  <si>
    <t>Collinsella tanakaei</t>
  </si>
  <si>
    <t>Collinsella urealyticum</t>
  </si>
  <si>
    <t>swine feces</t>
  </si>
  <si>
    <t>Collinsella vaginalis</t>
  </si>
  <si>
    <t>patient suffering from bacterial vaginosis</t>
  </si>
  <si>
    <t>Coriobacteriaceae bacterium</t>
  </si>
  <si>
    <t>Coriobacteriia bacterium</t>
  </si>
  <si>
    <t>Defluviitoga tunisiensis</t>
  </si>
  <si>
    <t>Thermotogota</t>
  </si>
  <si>
    <t>Petrotogaceae</t>
  </si>
  <si>
    <t>mesothermic and anaerobic whey digester</t>
  </si>
  <si>
    <t>Deltaproteobacteria bacterium Smac51</t>
  </si>
  <si>
    <t>delta/epsilon subdivisions</t>
  </si>
  <si>
    <t>unclassified Deltaproteobacteria</t>
  </si>
  <si>
    <t>insect guts</t>
  </si>
  <si>
    <t>Desulfosporosinus sp. Sb-LF</t>
  </si>
  <si>
    <t>Desulfitobacteriaceae</t>
  </si>
  <si>
    <t>Dielma fastidiosa</t>
  </si>
  <si>
    <t>Enorma phocaeensis</t>
  </si>
  <si>
    <t>stool sample from a patient</t>
  </si>
  <si>
    <t>Enterocloster aldenensis</t>
  </si>
  <si>
    <t>clinical infections in California</t>
  </si>
  <si>
    <t>Enterocloster citroniae</t>
  </si>
  <si>
    <t>Enterocloster clostridioformis</t>
  </si>
  <si>
    <t>Enterococcus sp.</t>
  </si>
  <si>
    <t>Enterococcaceae</t>
  </si>
  <si>
    <t xml:space="preserve">gut </t>
  </si>
  <si>
    <t>Erysipelotrichaceae bacterium</t>
  </si>
  <si>
    <t>pig gut</t>
  </si>
  <si>
    <t>Eubacteriaceae bacterium</t>
  </si>
  <si>
    <t>Eubacteriales bacterium</t>
  </si>
  <si>
    <t>unclassified Eubacteriales</t>
  </si>
  <si>
    <t>Fannyhessea vaginae PB189-T1-4</t>
  </si>
  <si>
    <t>bacterial vaginosis</t>
  </si>
  <si>
    <t>Fastidiosipila sanguinis</t>
  </si>
  <si>
    <t>human blood</t>
  </si>
  <si>
    <t>blood</t>
  </si>
  <si>
    <t>Fournierella massiliensis</t>
  </si>
  <si>
    <t>Fournierella sp. CML151</t>
  </si>
  <si>
    <t>chicken intestine</t>
  </si>
  <si>
    <t>Fretibacterium sp. OH1220_COT-178</t>
  </si>
  <si>
    <t> Synergistota</t>
  </si>
  <si>
    <t>Aminobacteriaceae</t>
  </si>
  <si>
    <t>Gallicola sp.</t>
  </si>
  <si>
    <t>Peptoniphilaceae</t>
  </si>
  <si>
    <t>Gemmiger sp. An50</t>
  </si>
  <si>
    <t>Gleimia hominis</t>
  </si>
  <si>
    <t>wound swab</t>
  </si>
  <si>
    <t>Haloimpatiens lingqiaonensis</t>
  </si>
  <si>
    <t>wastewater from a paper mill</t>
  </si>
  <si>
    <t>Haloimpatiens massiliensis</t>
  </si>
  <si>
    <t>Hathewaya massiliensis</t>
  </si>
  <si>
    <t>Hominibacterium faecale</t>
  </si>
  <si>
    <t>Hungatella effluvii</t>
  </si>
  <si>
    <t xml:space="preserve">probiotic industry effluent </t>
  </si>
  <si>
    <t>Hungatella hathewayi</t>
  </si>
  <si>
    <t>Inediibacterium massiliense</t>
  </si>
  <si>
    <t>Keratinibaculum paraultunense</t>
  </si>
  <si>
    <t>Tepidimicrobiaceae</t>
  </si>
  <si>
    <t>soil from grassy marshland</t>
  </si>
  <si>
    <t>Lachnospiraceae bacterium</t>
  </si>
  <si>
    <t>Gastrointestinal tract (GIT) microbiomes in ruminant</t>
  </si>
  <si>
    <t>Lancefieldella parvula</t>
  </si>
  <si>
    <t>Human gingival crevices</t>
  </si>
  <si>
    <t>Lancefieldella rimae</t>
  </si>
  <si>
    <t>Lancefieldella sp. Marseille-Q7238</t>
  </si>
  <si>
    <t>Nash patient</t>
  </si>
  <si>
    <t>patient</t>
  </si>
  <si>
    <t>Lentihominibacter hominis</t>
  </si>
  <si>
    <t>Miniphocaeibacter halophilus</t>
  </si>
  <si>
    <t>biogas system</t>
  </si>
  <si>
    <t>Mogibacterium sp.</t>
  </si>
  <si>
    <t>Natronincola ferrireducens</t>
  </si>
  <si>
    <t>soda lake</t>
  </si>
  <si>
    <t>Niameybacter massiliensis</t>
  </si>
  <si>
    <t>infant feces</t>
  </si>
  <si>
    <t>Oceanotoga sp. DSM 15011</t>
  </si>
  <si>
    <t>Oceanotoga</t>
  </si>
  <si>
    <t>Olsenella sp.</t>
  </si>
  <si>
    <t>bioreactor sludge</t>
  </si>
  <si>
    <t>Olsenella sp. AM30-3LB</t>
  </si>
  <si>
    <t>Olsenella sp. Marseille-P4559</t>
  </si>
  <si>
    <t>sputum sample in the hospital of Timone</t>
  </si>
  <si>
    <t>sputum</t>
  </si>
  <si>
    <t>Olsenella sp. oral taxon 807</t>
  </si>
  <si>
    <t>human Oral</t>
  </si>
  <si>
    <t>Olsenella uli</t>
  </si>
  <si>
    <t>Olsenella urininfantis</t>
  </si>
  <si>
    <t>human Vagina</t>
  </si>
  <si>
    <t>Vagina</t>
  </si>
  <si>
    <t>Parafannyhessea umbonata</t>
  </si>
  <si>
    <t>Ruminants rumen</t>
  </si>
  <si>
    <t>Parolsenella catena</t>
  </si>
  <si>
    <t>Parolsenella massiliensis</t>
  </si>
  <si>
    <t>Peptoniphilus sp. oral taxon 375</t>
  </si>
  <si>
    <t>Peptoniphilus sp. oral taxon 375 str. F0436</t>
  </si>
  <si>
    <t>Phascolarctobacterium faecium</t>
  </si>
  <si>
    <t> Acidaminococcaceae</t>
  </si>
  <si>
    <t>Phascolarctobacterium sp.</t>
  </si>
  <si>
    <t>wastewater</t>
  </si>
  <si>
    <t>Ruminococcus sp. CLA-AA-H200</t>
  </si>
  <si>
    <t>Sedimentibacter sp. zth1</t>
  </si>
  <si>
    <t>Tissierellia incertae sedis</t>
  </si>
  <si>
    <t>eutrophic lake in China</t>
  </si>
  <si>
    <t>Soehngenia longivitae</t>
  </si>
  <si>
    <t>Tissierellaceae</t>
  </si>
  <si>
    <t>petroleum reservoir in Azerbaijan</t>
  </si>
  <si>
    <t>Soehngenia saccharolytica</t>
  </si>
  <si>
    <t>sludge from an anaerobic wastewater treatment plant</t>
  </si>
  <si>
    <t>Sporanaerobacter acetigenes</t>
  </si>
  <si>
    <t>upflow anaerobic sludge blanket reactor</t>
  </si>
  <si>
    <t>Subdoligranulum variabile</t>
  </si>
  <si>
    <t>Syntrophaceticus schinkii</t>
  </si>
  <si>
    <t>Thermoanaerobacterales Family III. Incertae Sedis</t>
  </si>
  <si>
    <t>anaerobic filter treating wastewater in a fishmeal factory</t>
  </si>
  <si>
    <t>Syntrophomonadaceae bacterium</t>
  </si>
  <si>
    <t>Syntrophomonadaceae</t>
  </si>
  <si>
    <t>anaerobic digester</t>
  </si>
  <si>
    <t>Syntrophomonas sp.</t>
  </si>
  <si>
    <t>fermentation</t>
  </si>
  <si>
    <t>Thermophilibacter immobilis</t>
  </si>
  <si>
    <t>mud in a fermentation cellar used for the production of Chinese Luzhou-flavour Baijiu</t>
  </si>
  <si>
    <t>Tissierella carlieri</t>
  </si>
  <si>
    <t>human stump wound</t>
  </si>
  <si>
    <t>Tissierella pigra</t>
  </si>
  <si>
    <t>Tissierella praeacuta</t>
  </si>
  <si>
    <t>leg wound</t>
  </si>
  <si>
    <t>Tissierella simiarum</t>
  </si>
  <si>
    <t>Tissierella sp. P1</t>
  </si>
  <si>
    <t>copper coins in circulation</t>
  </si>
  <si>
    <t>Tissierellales bacterium</t>
  </si>
  <si>
    <t>oil production facility</t>
  </si>
  <si>
    <t>Tissierellia bacterium</t>
  </si>
  <si>
    <t>Tissierellia bacterium S5-A11</t>
  </si>
  <si>
    <t>human with bacterial vaginosis</t>
  </si>
  <si>
    <t>unclassified Clostridium</t>
  </si>
  <si>
    <t>unclassified Collinsella</t>
  </si>
  <si>
    <t>unclassified Gemmiger</t>
  </si>
  <si>
    <t>Gemmiger</t>
  </si>
  <si>
    <t>unclassified Olsenella</t>
  </si>
  <si>
    <t>unclassified Winkia</t>
  </si>
  <si>
    <t>uncultured Blautia sp.</t>
  </si>
  <si>
    <t>uncultured Clostridium sp.</t>
  </si>
  <si>
    <t>uncultured Parolsenella sp.</t>
  </si>
  <si>
    <t>uncultured Phascolarctobacterium sp.</t>
  </si>
  <si>
    <t>Urinicoccus massiliensis</t>
  </si>
  <si>
    <t>urine specimen</t>
  </si>
  <si>
    <t>urine</t>
  </si>
  <si>
    <t>Urinicoccus timonensis</t>
  </si>
  <si>
    <t>Vagococcus humatus</t>
  </si>
  <si>
    <t>soil beneath a decomposing pig carcass</t>
  </si>
  <si>
    <t>Wansuia hejianensis</t>
  </si>
  <si>
    <t>Winkia neuii</t>
  </si>
  <si>
    <t>Zhenpiania hominis</t>
  </si>
  <si>
    <t xml:space="preserve"> Gemmiger</t>
  </si>
  <si>
    <t>Anaerosalibacter bizertensis</t>
  </si>
  <si>
    <t>sludge from waste generated by the recycling of discarded motor oils</t>
  </si>
  <si>
    <t>Anaerosalibacter massiliensis</t>
  </si>
  <si>
    <t>Clostridium argentinense</t>
  </si>
  <si>
    <t>Clostridium beijerinckii</t>
  </si>
  <si>
    <t>Soil</t>
  </si>
  <si>
    <t>Hathewaya histolytica</t>
  </si>
  <si>
    <t>gas gangrene</t>
  </si>
  <si>
    <t>Protein</t>
  </si>
  <si>
    <t>Per. Ident</t>
  </si>
  <si>
    <t>Length</t>
  </si>
  <si>
    <t>CALFYP39_00071</t>
  </si>
  <si>
    <t>CHLFYP18_04700</t>
  </si>
  <si>
    <t>CBLFYP116_02895</t>
  </si>
  <si>
    <t>Gene Tag</t>
  </si>
  <si>
    <t xml:space="preserve">Protein Accession  </t>
  </si>
  <si>
    <t>Gene Locus</t>
  </si>
  <si>
    <t>WP_087409823.1</t>
  </si>
  <si>
    <t>WP_194371057.1</t>
  </si>
  <si>
    <t>WP_035428407.1</t>
  </si>
  <si>
    <t>WP_078712103.1</t>
  </si>
  <si>
    <t>WP_035293394.1</t>
  </si>
  <si>
    <t>Table S1. Chemical, media reagents, and research kits</t>
    <phoneticPr fontId="26" type="noConversion"/>
  </si>
  <si>
    <t>Table S2. Bacterial strains used in this study</t>
    <phoneticPr fontId="26" type="noConversion"/>
  </si>
  <si>
    <t>Feng et al. (2020)</t>
  </si>
  <si>
    <t>Table S3. Primers, synthetic gene fragment and plasmids used in this study</t>
    <phoneticPr fontId="26" type="noConversion"/>
  </si>
  <si>
    <t>Table S4. Liquid chromatography-mass spectrometry/mass spectrometry(LC-MS/MS) parameters</t>
    <phoneticPr fontId="26" type="noConversion"/>
  </si>
  <si>
    <t>0.2 ml/min</t>
    <phoneticPr fontId="26" type="noConversion"/>
  </si>
  <si>
    <t>5 ml</t>
    <phoneticPr fontId="26" type="noConversion"/>
  </si>
  <si>
    <t>500°C</t>
    <phoneticPr fontId="26" type="noConversion"/>
  </si>
  <si>
    <t>600°C</t>
    <phoneticPr fontId="26" type="noConversion"/>
  </si>
  <si>
    <t>Table S5.  MRM parameters and retention times for the target compounds</t>
    <phoneticPr fontId="26" type="noConversion"/>
  </si>
  <si>
    <r>
      <t xml:space="preserve">Table S6A. BLASTp search of GenBank using </t>
    </r>
    <r>
      <rPr>
        <b/>
        <i/>
        <sz val="11"/>
        <color theme="1"/>
        <rFont val="맑은 고딕"/>
        <charset val="134"/>
        <scheme val="minor"/>
      </rPr>
      <t>CILFYP54_00697</t>
    </r>
    <r>
      <rPr>
        <b/>
        <sz val="11"/>
        <color theme="1"/>
        <rFont val="맑은 고딕"/>
        <charset val="134"/>
        <scheme val="minor"/>
      </rPr>
      <t xml:space="preserve"> as a query</t>
    </r>
    <phoneticPr fontId="26" type="noConversion"/>
  </si>
  <si>
    <r>
      <t xml:space="preserve">Table S6B. BLASTp search of GenBank using </t>
    </r>
    <r>
      <rPr>
        <b/>
        <i/>
        <sz val="11"/>
        <color theme="1"/>
        <rFont val="맑은 고딕"/>
        <charset val="134"/>
        <scheme val="minor"/>
      </rPr>
      <t>CALFYP39_00071</t>
    </r>
    <r>
      <rPr>
        <b/>
        <sz val="11"/>
        <color theme="1"/>
        <rFont val="맑은 고딕"/>
        <charset val="134"/>
        <scheme val="minor"/>
      </rPr>
      <t xml:space="preserve"> as a query</t>
    </r>
    <phoneticPr fontId="26" type="noConversion"/>
  </si>
  <si>
    <r>
      <t xml:space="preserve">Table S6C. BLASTp search of GenBank using </t>
    </r>
    <r>
      <rPr>
        <b/>
        <i/>
        <sz val="11"/>
        <color theme="1"/>
        <rFont val="맑은 고딕"/>
        <charset val="134"/>
        <scheme val="minor"/>
      </rPr>
      <t>CHLFYP18_04700</t>
    </r>
    <r>
      <rPr>
        <b/>
        <sz val="11"/>
        <color theme="1"/>
        <rFont val="맑은 고딕"/>
        <charset val="134"/>
        <scheme val="minor"/>
      </rPr>
      <t xml:space="preserve"> as a query</t>
    </r>
    <phoneticPr fontId="26" type="noConversion"/>
  </si>
  <si>
    <r>
      <t xml:space="preserve">Table S6D. BLASTp search of GenBank using </t>
    </r>
    <r>
      <rPr>
        <b/>
        <i/>
        <sz val="11"/>
        <color theme="1"/>
        <rFont val="맑은 고딕"/>
        <charset val="134"/>
        <scheme val="minor"/>
      </rPr>
      <t>CBLFYP116_02895</t>
    </r>
    <r>
      <rPr>
        <b/>
        <sz val="11"/>
        <color theme="1"/>
        <rFont val="맑은 고딕"/>
        <charset val="134"/>
        <scheme val="minor"/>
      </rPr>
      <t xml:space="preserve"> as a query</t>
    </r>
    <phoneticPr fontId="26" type="noConversion"/>
  </si>
  <si>
    <t>Table S7. Alignment of protein sequences with CILFYP54_00697 using Blastp</t>
    <phoneticPr fontId="26" type="noConversion"/>
  </si>
  <si>
    <t>Table S8. AvaC homologous proteins from strains distributed in various environments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</si>
</sst>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8">
    <font>
      <sz val="11"/>
      <color theme="1"/>
      <name val="맑은 고딕"/>
      <charset val="134"/>
      <scheme val="minor"/>
    </font>
    <font>
      <b/>
      <sz val="11"/>
      <color theme="1"/>
      <name val="맑은 고딕"/>
      <charset val="134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微软雅黑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Times New Roman"/>
      <family val="1"/>
    </font>
    <font>
      <sz val="11"/>
      <name val="Arial"/>
      <family val="2"/>
    </font>
    <font>
      <sz val="10"/>
      <color theme="1"/>
      <name val="맑은 고딕"/>
      <charset val="134"/>
      <scheme val="minor"/>
    </font>
    <font>
      <u/>
      <sz val="11"/>
      <color theme="10"/>
      <name val="맑은 고딕"/>
      <charset val="134"/>
      <scheme val="minor"/>
    </font>
    <font>
      <sz val="6"/>
      <color rgb="FF222222"/>
      <name val="Tahoma"/>
      <family val="2"/>
    </font>
    <font>
      <sz val="6"/>
      <color rgb="FF14407B"/>
      <name val="Tahoma"/>
      <family val="2"/>
    </font>
    <font>
      <b/>
      <i/>
      <sz val="11"/>
      <color theme="1"/>
      <name val="맑은 고딕"/>
      <charset val="134"/>
      <scheme val="minor"/>
    </font>
    <font>
      <b/>
      <sz val="10"/>
      <color theme="1"/>
      <name val="Symbol"/>
      <family val="1"/>
      <charset val="2"/>
    </font>
    <font>
      <b/>
      <i/>
      <vertAlign val="superscript"/>
      <sz val="10"/>
      <color theme="1"/>
      <name val="Arial"/>
      <family val="2"/>
    </font>
    <font>
      <sz val="10"/>
      <color theme="1"/>
      <name val="宋体"/>
    </font>
    <font>
      <sz val="11"/>
      <color theme="1"/>
      <name val="微软雅黑"/>
      <family val="2"/>
    </font>
    <font>
      <vertAlign val="subscript"/>
      <sz val="12"/>
      <color theme="1"/>
      <name val="Times New Roman"/>
      <family val="1"/>
    </font>
    <font>
      <sz val="12"/>
      <color theme="1"/>
      <name val="宋体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E2E3E3"/>
      </left>
      <right/>
      <top style="medium">
        <color rgb="FFE2E3E3"/>
      </top>
      <bottom style="medium">
        <color rgb="FFE2E3E3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5" xfId="0" applyFont="1" applyBorder="1"/>
    <xf numFmtId="0" fontId="0" fillId="0" borderId="6" xfId="0" applyBorder="1" applyAlignment="1">
      <alignment vertical="center"/>
    </xf>
    <xf numFmtId="9" fontId="0" fillId="0" borderId="6" xfId="0" applyNumberFormat="1" applyBorder="1" applyAlignment="1">
      <alignment vertical="center"/>
    </xf>
    <xf numFmtId="11" fontId="0" fillId="0" borderId="6" xfId="0" applyNumberFormat="1" applyBorder="1" applyAlignment="1">
      <alignment vertical="center"/>
    </xf>
    <xf numFmtId="0" fontId="0" fillId="0" borderId="6" xfId="0" applyBorder="1"/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4" xfId="0" applyFont="1" applyBorder="1"/>
    <xf numFmtId="0" fontId="4" fillId="0" borderId="5" xfId="0" applyFont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6" xfId="1" applyFont="1" applyFill="1" applyBorder="1"/>
    <xf numFmtId="0" fontId="0" fillId="0" borderId="7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0" fillId="2" borderId="0" xfId="0" applyFill="1"/>
    <xf numFmtId="0" fontId="8" fillId="2" borderId="0" xfId="0" applyFont="1" applyFill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3" fillId="0" borderId="6" xfId="0" applyFont="1" applyBorder="1" applyAlignment="1">
      <alignment horizontal="justify" indent="1"/>
    </xf>
    <xf numFmtId="0" fontId="14" fillId="2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176" fontId="8" fillId="2" borderId="6" xfId="0" applyNumberFormat="1" applyFont="1" applyFill="1" applyBorder="1" applyAlignment="1">
      <alignment horizontal="center"/>
    </xf>
    <xf numFmtId="176" fontId="14" fillId="2" borderId="6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1" applyAlignment="1">
      <alignment vertical="center" wrapText="1"/>
    </xf>
    <xf numFmtId="0" fontId="16" fillId="0" borderId="0" xfId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10" xfId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4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99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bi.nlm.nih.gov/Taxonomy/Browser/wwwtax.cgi?mode=Undef&amp;id=2992718&amp;lvl=3&amp;keep=1&amp;srchmode=1&amp;unlock" TargetMode="External"/><Relationship Id="rId1" Type="http://schemas.openxmlformats.org/officeDocument/2006/relationships/hyperlink" Target="https://www.ncbi.nlm.nih.gov/Taxonomy/Browser/wwwtax.cgi?mode=Undef&amp;id=2992718&amp;lvl=3&amp;keep=1&amp;srchmode=1&amp;un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B1" sqref="B1"/>
    </sheetView>
  </sheetViews>
  <sheetFormatPr defaultColWidth="8.875" defaultRowHeight="16.5"/>
  <cols>
    <col min="1" max="1" width="29.875" style="24" customWidth="1"/>
    <col min="2" max="2" width="33" style="24" customWidth="1"/>
    <col min="3" max="3" width="28.875" style="24" customWidth="1"/>
    <col min="4" max="16384" width="8.875" style="24"/>
  </cols>
  <sheetData>
    <row r="1" spans="1:3">
      <c r="A1" s="90" t="s">
        <v>724</v>
      </c>
      <c r="B1" s="91"/>
      <c r="C1" s="92"/>
    </row>
    <row r="2" spans="1:3">
      <c r="A2" s="115" t="s">
        <v>0</v>
      </c>
      <c r="B2" s="115" t="s">
        <v>1</v>
      </c>
      <c r="C2" s="116" t="s">
        <v>2</v>
      </c>
    </row>
    <row r="3" spans="1:3">
      <c r="A3" s="59" t="s">
        <v>3</v>
      </c>
      <c r="B3" s="59" t="s">
        <v>4</v>
      </c>
      <c r="C3" s="59" t="s">
        <v>5</v>
      </c>
    </row>
    <row r="4" spans="1:3">
      <c r="A4" s="60" t="s">
        <v>6</v>
      </c>
      <c r="B4" s="60" t="s">
        <v>7</v>
      </c>
      <c r="C4" s="60" t="s">
        <v>8</v>
      </c>
    </row>
    <row r="5" spans="1:3">
      <c r="A5" s="60" t="s">
        <v>9</v>
      </c>
      <c r="B5" s="60" t="s">
        <v>10</v>
      </c>
      <c r="C5" s="60" t="s">
        <v>11</v>
      </c>
    </row>
    <row r="6" spans="1:3">
      <c r="A6" s="60" t="s">
        <v>12</v>
      </c>
      <c r="B6" s="60" t="s">
        <v>10</v>
      </c>
      <c r="C6" s="60" t="s">
        <v>13</v>
      </c>
    </row>
    <row r="7" spans="1:3">
      <c r="A7" s="60" t="s">
        <v>14</v>
      </c>
      <c r="B7" s="60" t="s">
        <v>15</v>
      </c>
      <c r="C7" s="60" t="s">
        <v>16</v>
      </c>
    </row>
    <row r="8" spans="1:3">
      <c r="A8" s="60" t="s">
        <v>17</v>
      </c>
      <c r="B8" s="60" t="s">
        <v>10</v>
      </c>
      <c r="C8" s="60" t="s">
        <v>18</v>
      </c>
    </row>
    <row r="9" spans="1:3">
      <c r="A9" s="60" t="s">
        <v>19</v>
      </c>
      <c r="B9" s="60" t="s">
        <v>10</v>
      </c>
      <c r="C9" s="60" t="s">
        <v>20</v>
      </c>
    </row>
    <row r="10" spans="1:3">
      <c r="A10" s="60" t="s">
        <v>21</v>
      </c>
      <c r="B10" s="60" t="s">
        <v>10</v>
      </c>
      <c r="C10" s="60" t="s">
        <v>22</v>
      </c>
    </row>
    <row r="11" spans="1:3">
      <c r="A11" s="60" t="s">
        <v>23</v>
      </c>
      <c r="B11" s="60" t="s">
        <v>10</v>
      </c>
      <c r="C11" s="60">
        <v>51280</v>
      </c>
    </row>
    <row r="12" spans="1:3">
      <c r="A12" s="60" t="s">
        <v>24</v>
      </c>
      <c r="B12" s="60" t="s">
        <v>7</v>
      </c>
      <c r="C12" s="60" t="s">
        <v>25</v>
      </c>
    </row>
    <row r="13" spans="1:3">
      <c r="A13" s="60" t="s">
        <v>26</v>
      </c>
      <c r="B13" s="60" t="s">
        <v>27</v>
      </c>
      <c r="C13" s="60">
        <v>10019308</v>
      </c>
    </row>
    <row r="14" spans="1:3" ht="31.5">
      <c r="A14" s="60" t="s">
        <v>28</v>
      </c>
      <c r="B14" s="60" t="s">
        <v>29</v>
      </c>
      <c r="C14" s="60">
        <v>10016318</v>
      </c>
    </row>
    <row r="15" spans="1:3">
      <c r="A15" s="60" t="s">
        <v>30</v>
      </c>
      <c r="B15" s="60" t="s">
        <v>7</v>
      </c>
      <c r="C15" s="60" t="s">
        <v>31</v>
      </c>
    </row>
    <row r="16" spans="1:3" ht="18.75">
      <c r="A16" s="60" t="s">
        <v>32</v>
      </c>
      <c r="B16" s="60" t="s">
        <v>7</v>
      </c>
      <c r="C16" s="60" t="s">
        <v>33</v>
      </c>
    </row>
    <row r="17" spans="1:4">
      <c r="A17" s="60" t="s">
        <v>34</v>
      </c>
      <c r="B17" s="60" t="s">
        <v>35</v>
      </c>
      <c r="C17" s="60" t="s">
        <v>36</v>
      </c>
    </row>
    <row r="18" spans="1:4" ht="47.25">
      <c r="A18" s="60" t="s">
        <v>37</v>
      </c>
      <c r="B18" s="60" t="s">
        <v>38</v>
      </c>
      <c r="C18" s="60" t="s">
        <v>39</v>
      </c>
    </row>
    <row r="19" spans="1:4" ht="47.25">
      <c r="A19" s="60" t="s">
        <v>37</v>
      </c>
      <c r="B19" s="60" t="s">
        <v>40</v>
      </c>
      <c r="C19" s="60" t="s">
        <v>41</v>
      </c>
      <c r="D19" s="61"/>
    </row>
    <row r="20" spans="1:4">
      <c r="A20" s="60" t="s">
        <v>42</v>
      </c>
      <c r="B20" s="60" t="s">
        <v>43</v>
      </c>
      <c r="C20" s="60" t="s">
        <v>44</v>
      </c>
      <c r="D20" s="62"/>
    </row>
    <row r="21" spans="1:4" ht="31.5">
      <c r="A21" s="60" t="s">
        <v>45</v>
      </c>
      <c r="B21" s="60" t="s">
        <v>40</v>
      </c>
      <c r="C21" s="60" t="s">
        <v>46</v>
      </c>
      <c r="D21" s="63"/>
    </row>
    <row r="22" spans="1:4">
      <c r="A22" s="60" t="s">
        <v>47</v>
      </c>
      <c r="B22" s="60" t="s">
        <v>7</v>
      </c>
      <c r="C22" s="60" t="s">
        <v>48</v>
      </c>
      <c r="D22" s="64"/>
    </row>
    <row r="23" spans="1:4">
      <c r="A23" s="60" t="s">
        <v>49</v>
      </c>
      <c r="B23" s="60" t="s">
        <v>7</v>
      </c>
      <c r="C23" s="60" t="s">
        <v>50</v>
      </c>
    </row>
    <row r="24" spans="1:4">
      <c r="A24" s="60" t="s">
        <v>51</v>
      </c>
      <c r="B24" s="60" t="s">
        <v>52</v>
      </c>
      <c r="C24" s="60" t="s">
        <v>53</v>
      </c>
    </row>
    <row r="25" spans="1:4">
      <c r="A25" s="60" t="s">
        <v>54</v>
      </c>
      <c r="B25" s="60" t="s">
        <v>7</v>
      </c>
      <c r="C25" s="60" t="s">
        <v>55</v>
      </c>
    </row>
    <row r="26" spans="1:4">
      <c r="A26" s="60" t="s">
        <v>56</v>
      </c>
      <c r="B26" s="60" t="s">
        <v>27</v>
      </c>
      <c r="C26" s="60">
        <v>10019718</v>
      </c>
    </row>
    <row r="27" spans="1:4">
      <c r="A27" s="60" t="s">
        <v>57</v>
      </c>
      <c r="B27" s="60" t="s">
        <v>58</v>
      </c>
      <c r="C27" s="60">
        <v>10009218</v>
      </c>
    </row>
    <row r="28" spans="1:4">
      <c r="A28" s="60" t="s">
        <v>59</v>
      </c>
      <c r="B28" s="60" t="s">
        <v>40</v>
      </c>
      <c r="C28" s="60" t="s">
        <v>60</v>
      </c>
    </row>
    <row r="29" spans="1:4">
      <c r="A29" s="60" t="s">
        <v>61</v>
      </c>
      <c r="B29" s="60" t="s">
        <v>7</v>
      </c>
      <c r="C29" s="60" t="s">
        <v>62</v>
      </c>
    </row>
    <row r="30" spans="1:4">
      <c r="A30" s="60" t="s">
        <v>63</v>
      </c>
      <c r="B30" s="60" t="s">
        <v>10</v>
      </c>
      <c r="C30" s="60" t="s">
        <v>64</v>
      </c>
    </row>
    <row r="31" spans="1:4">
      <c r="A31" s="60" t="s">
        <v>65</v>
      </c>
      <c r="B31" s="60" t="s">
        <v>10</v>
      </c>
      <c r="C31" s="60">
        <v>194336</v>
      </c>
    </row>
    <row r="32" spans="1:4">
      <c r="A32" s="60" t="s">
        <v>66</v>
      </c>
      <c r="B32" s="60" t="s">
        <v>10</v>
      </c>
      <c r="C32" s="60" t="s">
        <v>67</v>
      </c>
    </row>
    <row r="33" spans="1:5">
      <c r="A33" s="60" t="s">
        <v>68</v>
      </c>
      <c r="B33" s="60" t="s">
        <v>69</v>
      </c>
      <c r="C33" s="60" t="s">
        <v>70</v>
      </c>
    </row>
    <row r="34" spans="1:5">
      <c r="A34" s="60" t="s">
        <v>71</v>
      </c>
      <c r="B34" s="60" t="s">
        <v>58</v>
      </c>
      <c r="C34" s="60" t="s">
        <v>72</v>
      </c>
    </row>
    <row r="35" spans="1:5">
      <c r="A35" s="60" t="s">
        <v>73</v>
      </c>
      <c r="B35" s="60" t="s">
        <v>7</v>
      </c>
      <c r="C35" s="60" t="s">
        <v>74</v>
      </c>
    </row>
    <row r="36" spans="1:5">
      <c r="A36" s="60" t="s">
        <v>75</v>
      </c>
      <c r="B36" s="60" t="s">
        <v>76</v>
      </c>
      <c r="C36" s="60" t="s">
        <v>77</v>
      </c>
      <c r="D36" s="65"/>
      <c r="E36" s="66"/>
    </row>
    <row r="37" spans="1:5" ht="19.5" customHeight="1">
      <c r="A37" s="60" t="s">
        <v>75</v>
      </c>
      <c r="B37" s="60" t="s">
        <v>78</v>
      </c>
      <c r="C37" s="70" t="s">
        <v>79</v>
      </c>
    </row>
    <row r="38" spans="1:5">
      <c r="A38" s="60" t="s">
        <v>80</v>
      </c>
      <c r="B38" s="60" t="s">
        <v>7</v>
      </c>
      <c r="C38" s="60" t="s">
        <v>81</v>
      </c>
    </row>
    <row r="39" spans="1:5">
      <c r="A39" s="60" t="s">
        <v>82</v>
      </c>
      <c r="B39" s="60" t="s">
        <v>83</v>
      </c>
      <c r="C39" s="60" t="s">
        <v>84</v>
      </c>
    </row>
    <row r="40" spans="1:5">
      <c r="A40" s="67" t="s">
        <v>85</v>
      </c>
      <c r="B40" s="60" t="s">
        <v>86</v>
      </c>
      <c r="C40" s="60">
        <v>28706</v>
      </c>
    </row>
    <row r="41" spans="1:5">
      <c r="A41" s="67" t="s">
        <v>87</v>
      </c>
      <c r="B41" s="60" t="s">
        <v>88</v>
      </c>
      <c r="C41" s="60">
        <v>2158</v>
      </c>
    </row>
    <row r="42" spans="1:5">
      <c r="A42" s="67" t="s">
        <v>89</v>
      </c>
      <c r="B42" s="60" t="s">
        <v>86</v>
      </c>
      <c r="C42" s="60">
        <v>28106</v>
      </c>
    </row>
    <row r="43" spans="1:5">
      <c r="A43" s="67" t="s">
        <v>90</v>
      </c>
      <c r="B43" s="60" t="s">
        <v>91</v>
      </c>
      <c r="C43" s="60" t="s">
        <v>92</v>
      </c>
    </row>
    <row r="44" spans="1:5">
      <c r="A44" s="67" t="s">
        <v>93</v>
      </c>
      <c r="B44" s="60" t="s">
        <v>91</v>
      </c>
      <c r="C44" s="60" t="s">
        <v>94</v>
      </c>
    </row>
    <row r="45" spans="1:5">
      <c r="A45" s="68" t="s">
        <v>95</v>
      </c>
      <c r="B45" s="69" t="s">
        <v>96</v>
      </c>
      <c r="C45" s="69" t="s">
        <v>97</v>
      </c>
    </row>
    <row r="46" spans="1:5">
      <c r="A46" s="60"/>
      <c r="B46" s="60"/>
      <c r="C46" s="60"/>
    </row>
  </sheetData>
  <phoneticPr fontId="26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K4" sqref="K4"/>
    </sheetView>
  </sheetViews>
  <sheetFormatPr defaultColWidth="8.625" defaultRowHeight="16.5"/>
  <cols>
    <col min="1" max="1" width="15.5" customWidth="1"/>
    <col min="2" max="2" width="11.625" customWidth="1"/>
    <col min="3" max="3" width="11.125" customWidth="1"/>
    <col min="4" max="4" width="14.125" customWidth="1"/>
  </cols>
  <sheetData>
    <row r="1" spans="1:6">
      <c r="A1" s="121" t="s">
        <v>738</v>
      </c>
      <c r="B1" s="2"/>
      <c r="C1" s="2"/>
      <c r="D1" s="2"/>
      <c r="E1" s="2"/>
      <c r="F1" s="2"/>
    </row>
    <row r="2" spans="1:6">
      <c r="A2" s="6" t="s">
        <v>710</v>
      </c>
      <c r="B2" s="6" t="s">
        <v>389</v>
      </c>
      <c r="C2" s="6" t="s">
        <v>390</v>
      </c>
      <c r="D2" s="6" t="s">
        <v>391</v>
      </c>
      <c r="E2" s="6" t="s">
        <v>711</v>
      </c>
      <c r="F2" s="6" t="s">
        <v>712</v>
      </c>
    </row>
    <row r="3" spans="1:6">
      <c r="A3" s="4" t="s">
        <v>713</v>
      </c>
      <c r="B3" s="7">
        <v>842</v>
      </c>
      <c r="C3" s="8">
        <v>0.99</v>
      </c>
      <c r="D3" s="9">
        <v>0</v>
      </c>
      <c r="E3" s="8">
        <v>0.94099999999999995</v>
      </c>
      <c r="F3" s="7">
        <v>425</v>
      </c>
    </row>
    <row r="4" spans="1:6">
      <c r="A4" s="4" t="s">
        <v>714</v>
      </c>
      <c r="B4" s="10">
        <v>497</v>
      </c>
      <c r="C4" s="11">
        <v>0.96</v>
      </c>
      <c r="D4" s="4">
        <v>2E-180</v>
      </c>
      <c r="E4" s="11">
        <v>0.58499999999999996</v>
      </c>
      <c r="F4" s="10">
        <v>418</v>
      </c>
    </row>
    <row r="5" spans="1:6">
      <c r="A5" s="4" t="s">
        <v>715</v>
      </c>
      <c r="B5" s="12">
        <v>516</v>
      </c>
      <c r="C5" s="13">
        <v>0.96</v>
      </c>
      <c r="D5" s="14">
        <v>0</v>
      </c>
      <c r="E5" s="13">
        <v>0.60919999999999996</v>
      </c>
      <c r="F5" s="12">
        <v>413</v>
      </c>
    </row>
    <row r="6" spans="1:6">
      <c r="A6" s="15"/>
      <c r="B6" s="7"/>
      <c r="C6" s="7"/>
      <c r="D6" s="9"/>
      <c r="E6" s="7"/>
    </row>
  </sheetData>
  <phoneticPr fontId="26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2"/>
  <sheetViews>
    <sheetView workbookViewId="0">
      <selection activeCell="A6" sqref="A6"/>
    </sheetView>
  </sheetViews>
  <sheetFormatPr defaultColWidth="8.625" defaultRowHeight="16.5"/>
  <cols>
    <col min="1" max="1" width="20.125" customWidth="1"/>
    <col min="2" max="2" width="26.125" customWidth="1"/>
    <col min="3" max="3" width="14.5" customWidth="1"/>
    <col min="4" max="4" width="15.375" customWidth="1"/>
    <col min="5" max="5" width="34.5" customWidth="1"/>
    <col min="6" max="6" width="14.625" customWidth="1"/>
    <col min="12" max="12" width="17.875" customWidth="1"/>
    <col min="13" max="13" width="32.375" customWidth="1"/>
  </cols>
  <sheetData>
    <row r="1" spans="1:13">
      <c r="A1" s="121" t="s">
        <v>739</v>
      </c>
    </row>
    <row r="2" spans="1:13" s="1" customFormat="1">
      <c r="A2" s="3" t="s">
        <v>716</v>
      </c>
      <c r="B2" s="3" t="s">
        <v>384</v>
      </c>
      <c r="C2" s="3" t="s">
        <v>385</v>
      </c>
      <c r="D2" s="3" t="s">
        <v>386</v>
      </c>
      <c r="E2" s="3" t="s">
        <v>387</v>
      </c>
      <c r="F2" s="3" t="s">
        <v>388</v>
      </c>
      <c r="G2" s="3" t="s">
        <v>389</v>
      </c>
      <c r="H2" s="3" t="s">
        <v>390</v>
      </c>
      <c r="I2" s="3" t="s">
        <v>391</v>
      </c>
      <c r="J2" s="3" t="s">
        <v>392</v>
      </c>
      <c r="K2" s="3" t="s">
        <v>393</v>
      </c>
      <c r="L2" s="3" t="s">
        <v>717</v>
      </c>
      <c r="M2" s="3" t="s">
        <v>718</v>
      </c>
    </row>
    <row r="3" spans="1:13">
      <c r="A3" s="4" t="s">
        <v>338</v>
      </c>
      <c r="B3" s="4" t="s">
        <v>537</v>
      </c>
      <c r="C3" s="4" t="s">
        <v>420</v>
      </c>
      <c r="D3" s="4" t="s">
        <v>463</v>
      </c>
      <c r="E3" s="4" t="s">
        <v>538</v>
      </c>
      <c r="F3" s="4" t="s">
        <v>399</v>
      </c>
      <c r="G3" s="4">
        <v>786</v>
      </c>
      <c r="H3" s="4">
        <v>0.99</v>
      </c>
      <c r="I3" s="4">
        <v>0</v>
      </c>
      <c r="J3" s="4">
        <v>87.32</v>
      </c>
      <c r="K3" s="4">
        <v>427</v>
      </c>
      <c r="L3" s="4" t="s">
        <v>719</v>
      </c>
      <c r="M3" s="4" t="s">
        <v>339</v>
      </c>
    </row>
    <row r="4" spans="1:13">
      <c r="A4" s="4" t="s">
        <v>340</v>
      </c>
      <c r="B4" s="4" t="s">
        <v>667</v>
      </c>
      <c r="C4" s="4" t="s">
        <v>420</v>
      </c>
      <c r="D4" s="4" t="s">
        <v>421</v>
      </c>
      <c r="E4" s="4" t="s">
        <v>668</v>
      </c>
      <c r="F4" s="4" t="s">
        <v>408</v>
      </c>
      <c r="G4" s="4">
        <v>611</v>
      </c>
      <c r="H4" s="4">
        <v>0.97</v>
      </c>
      <c r="I4" s="4">
        <v>0</v>
      </c>
      <c r="J4" s="4">
        <v>73.489999999999995</v>
      </c>
      <c r="K4" s="4">
        <v>416</v>
      </c>
      <c r="L4" s="4" t="s">
        <v>720</v>
      </c>
      <c r="M4" s="4" t="s">
        <v>341</v>
      </c>
    </row>
    <row r="5" spans="1:13">
      <c r="A5" s="4" t="s">
        <v>342</v>
      </c>
      <c r="B5" s="4" t="s">
        <v>434</v>
      </c>
      <c r="C5" s="4" t="s">
        <v>420</v>
      </c>
      <c r="D5" s="4" t="s">
        <v>421</v>
      </c>
      <c r="E5" s="4" t="s">
        <v>435</v>
      </c>
      <c r="F5" s="4" t="s">
        <v>399</v>
      </c>
      <c r="G5" s="4">
        <v>605</v>
      </c>
      <c r="H5" s="4">
        <v>0.97</v>
      </c>
      <c r="I5" s="4">
        <v>0</v>
      </c>
      <c r="J5" s="4">
        <v>71.150000000000006</v>
      </c>
      <c r="K5" s="4">
        <v>415</v>
      </c>
      <c r="L5" s="4" t="s">
        <v>721</v>
      </c>
      <c r="M5" s="4" t="s">
        <v>343</v>
      </c>
    </row>
    <row r="6" spans="1:13">
      <c r="A6" s="4" t="s">
        <v>344</v>
      </c>
      <c r="B6" s="4" t="s">
        <v>412</v>
      </c>
      <c r="C6" s="4" t="s">
        <v>396</v>
      </c>
      <c r="D6" s="4" t="s">
        <v>413</v>
      </c>
      <c r="E6" s="4" t="s">
        <v>414</v>
      </c>
      <c r="F6" s="4" t="s">
        <v>411</v>
      </c>
      <c r="G6" s="4">
        <v>497</v>
      </c>
      <c r="H6" s="4">
        <v>0.96</v>
      </c>
      <c r="I6" s="4">
        <v>9.9999999999999998E-172</v>
      </c>
      <c r="J6" s="4">
        <v>60.24</v>
      </c>
      <c r="K6" s="4">
        <v>413</v>
      </c>
      <c r="L6" s="4" t="s">
        <v>722</v>
      </c>
      <c r="M6" s="4" t="s">
        <v>345</v>
      </c>
    </row>
    <row r="7" spans="1:13">
      <c r="A7" s="5" t="s">
        <v>346</v>
      </c>
      <c r="B7" s="5" t="s">
        <v>505</v>
      </c>
      <c r="C7" s="5" t="s">
        <v>396</v>
      </c>
      <c r="D7" s="5" t="s">
        <v>397</v>
      </c>
      <c r="E7" s="5" t="s">
        <v>473</v>
      </c>
      <c r="F7" s="5" t="s">
        <v>411</v>
      </c>
      <c r="G7" s="5">
        <v>466</v>
      </c>
      <c r="H7" s="5">
        <v>0.96</v>
      </c>
      <c r="I7" s="5">
        <v>9.9999999999999999E-160</v>
      </c>
      <c r="J7" s="5">
        <v>56.45</v>
      </c>
      <c r="K7" s="5">
        <v>413</v>
      </c>
      <c r="L7" s="5" t="s">
        <v>723</v>
      </c>
      <c r="M7" s="5" t="s">
        <v>347</v>
      </c>
    </row>
    <row r="8" spans="1:13">
      <c r="A8" s="4"/>
    </row>
    <row r="11" spans="1:13">
      <c r="A11" s="4"/>
    </row>
    <row r="12" spans="1:13">
      <c r="B12" s="4"/>
    </row>
  </sheetData>
  <phoneticPr fontId="2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workbookViewId="0">
      <selection activeCell="B7" sqref="B7"/>
    </sheetView>
  </sheetViews>
  <sheetFormatPr defaultColWidth="8.875" defaultRowHeight="16.5"/>
  <cols>
    <col min="1" max="1" width="49.875" style="50" customWidth="1"/>
    <col min="2" max="2" width="50.375" style="50" customWidth="1"/>
    <col min="3" max="3" width="38.625" style="49" customWidth="1"/>
    <col min="4" max="4" width="46.625" style="50" customWidth="1"/>
    <col min="5" max="5" width="21.5" customWidth="1"/>
    <col min="6" max="66" width="8.625"/>
  </cols>
  <sheetData>
    <row r="1" spans="1:5">
      <c r="A1" s="71" t="s">
        <v>725</v>
      </c>
    </row>
    <row r="2" spans="1:5">
      <c r="A2" s="104" t="s">
        <v>98</v>
      </c>
      <c r="B2" s="104"/>
      <c r="C2" s="104"/>
      <c r="D2" s="104"/>
      <c r="E2" s="51"/>
    </row>
    <row r="3" spans="1:5">
      <c r="A3" s="52" t="s">
        <v>99</v>
      </c>
      <c r="B3" s="52" t="s">
        <v>100</v>
      </c>
      <c r="C3" s="52" t="s">
        <v>101</v>
      </c>
      <c r="D3" s="52" t="s">
        <v>102</v>
      </c>
      <c r="E3" s="52" t="s">
        <v>103</v>
      </c>
    </row>
    <row r="4" spans="1:5">
      <c r="A4" s="53" t="s">
        <v>104</v>
      </c>
      <c r="B4" s="53" t="s">
        <v>105</v>
      </c>
      <c r="C4" s="53" t="s">
        <v>106</v>
      </c>
      <c r="D4" s="117" t="s">
        <v>107</v>
      </c>
      <c r="E4" s="54" t="s">
        <v>726</v>
      </c>
    </row>
    <row r="5" spans="1:5">
      <c r="A5" s="53" t="s">
        <v>108</v>
      </c>
      <c r="B5" s="53" t="s">
        <v>109</v>
      </c>
      <c r="C5" s="53" t="s">
        <v>106</v>
      </c>
      <c r="D5" s="117" t="s">
        <v>110</v>
      </c>
      <c r="E5" s="54" t="s">
        <v>726</v>
      </c>
    </row>
    <row r="6" spans="1:5">
      <c r="A6" s="53" t="s">
        <v>111</v>
      </c>
      <c r="B6" s="53" t="s">
        <v>112</v>
      </c>
      <c r="C6" s="53" t="s">
        <v>106</v>
      </c>
      <c r="D6" s="117" t="s">
        <v>113</v>
      </c>
      <c r="E6" s="54" t="s">
        <v>726</v>
      </c>
    </row>
    <row r="7" spans="1:5">
      <c r="A7" s="53" t="s">
        <v>114</v>
      </c>
      <c r="B7" s="53" t="s">
        <v>115</v>
      </c>
      <c r="C7" s="53" t="s">
        <v>106</v>
      </c>
      <c r="D7" s="117" t="s">
        <v>107</v>
      </c>
      <c r="E7" s="54" t="s">
        <v>726</v>
      </c>
    </row>
    <row r="8" spans="1:5">
      <c r="A8" s="53" t="s">
        <v>116</v>
      </c>
      <c r="B8" s="53" t="s">
        <v>117</v>
      </c>
      <c r="C8" s="53" t="s">
        <v>106</v>
      </c>
      <c r="D8" s="117" t="s">
        <v>110</v>
      </c>
      <c r="E8" s="54" t="s">
        <v>726</v>
      </c>
    </row>
    <row r="9" spans="1:5">
      <c r="A9" s="53" t="s">
        <v>118</v>
      </c>
      <c r="B9" s="53" t="s">
        <v>119</v>
      </c>
      <c r="C9" s="53" t="s">
        <v>106</v>
      </c>
      <c r="D9" s="117" t="s">
        <v>107</v>
      </c>
      <c r="E9" s="54" t="s">
        <v>726</v>
      </c>
    </row>
    <row r="10" spans="1:5">
      <c r="A10" s="53" t="s">
        <v>120</v>
      </c>
      <c r="B10" s="53" t="s">
        <v>121</v>
      </c>
      <c r="C10" s="53" t="s">
        <v>106</v>
      </c>
      <c r="D10" s="117" t="s">
        <v>122</v>
      </c>
      <c r="E10" s="54" t="s">
        <v>726</v>
      </c>
    </row>
    <row r="11" spans="1:5">
      <c r="A11" s="53" t="s">
        <v>123</v>
      </c>
      <c r="B11" s="53" t="s">
        <v>124</v>
      </c>
      <c r="C11" s="53" t="s">
        <v>106</v>
      </c>
      <c r="D11" s="117" t="s">
        <v>110</v>
      </c>
      <c r="E11" s="54" t="s">
        <v>726</v>
      </c>
    </row>
    <row r="12" spans="1:5">
      <c r="A12" s="53" t="s">
        <v>125</v>
      </c>
      <c r="B12" s="53" t="s">
        <v>126</v>
      </c>
      <c r="C12" s="53" t="s">
        <v>106</v>
      </c>
      <c r="D12" s="117" t="s">
        <v>127</v>
      </c>
      <c r="E12" s="54" t="s">
        <v>726</v>
      </c>
    </row>
    <row r="13" spans="1:5">
      <c r="A13" s="53" t="s">
        <v>128</v>
      </c>
      <c r="B13" s="53" t="s">
        <v>129</v>
      </c>
      <c r="C13" s="53" t="s">
        <v>106</v>
      </c>
      <c r="D13" s="117" t="s">
        <v>110</v>
      </c>
      <c r="E13" s="54" t="s">
        <v>726</v>
      </c>
    </row>
    <row r="14" spans="1:5">
      <c r="A14" s="53" t="s">
        <v>130</v>
      </c>
      <c r="B14" s="53" t="s">
        <v>131</v>
      </c>
      <c r="C14" s="53" t="s">
        <v>106</v>
      </c>
      <c r="D14" s="117" t="s">
        <v>113</v>
      </c>
      <c r="E14" s="54" t="s">
        <v>726</v>
      </c>
    </row>
    <row r="15" spans="1:5">
      <c r="A15" s="53" t="s">
        <v>132</v>
      </c>
      <c r="B15" s="53" t="s">
        <v>133</v>
      </c>
      <c r="C15" s="53" t="s">
        <v>106</v>
      </c>
      <c r="D15" s="117" t="s">
        <v>113</v>
      </c>
      <c r="E15" s="54" t="s">
        <v>726</v>
      </c>
    </row>
    <row r="16" spans="1:5">
      <c r="A16" s="53" t="s">
        <v>134</v>
      </c>
      <c r="B16" s="53" t="s">
        <v>135</v>
      </c>
      <c r="C16" s="53" t="s">
        <v>106</v>
      </c>
      <c r="D16" s="117" t="s">
        <v>110</v>
      </c>
      <c r="E16" s="54" t="s">
        <v>726</v>
      </c>
    </row>
    <row r="17" spans="1:5">
      <c r="A17" s="53" t="s">
        <v>136</v>
      </c>
      <c r="B17" s="53" t="s">
        <v>137</v>
      </c>
      <c r="C17" s="53" t="s">
        <v>106</v>
      </c>
      <c r="D17" s="117" t="s">
        <v>107</v>
      </c>
      <c r="E17" s="54" t="s">
        <v>726</v>
      </c>
    </row>
    <row r="18" spans="1:5">
      <c r="A18" s="53" t="s">
        <v>138</v>
      </c>
      <c r="B18" s="53" t="s">
        <v>139</v>
      </c>
      <c r="C18" s="53" t="s">
        <v>106</v>
      </c>
      <c r="D18" s="117" t="s">
        <v>110</v>
      </c>
      <c r="E18" s="54" t="s">
        <v>726</v>
      </c>
    </row>
    <row r="19" spans="1:5">
      <c r="A19" s="53" t="s">
        <v>140</v>
      </c>
      <c r="B19" s="53" t="s">
        <v>141</v>
      </c>
      <c r="C19" s="53" t="s">
        <v>106</v>
      </c>
      <c r="D19" s="117" t="s">
        <v>110</v>
      </c>
      <c r="E19" s="54" t="s">
        <v>726</v>
      </c>
    </row>
    <row r="20" spans="1:5">
      <c r="A20" s="53" t="s">
        <v>142</v>
      </c>
      <c r="B20" s="53" t="s">
        <v>143</v>
      </c>
      <c r="C20" s="53" t="s">
        <v>106</v>
      </c>
      <c r="D20" s="117" t="s">
        <v>113</v>
      </c>
      <c r="E20" s="54" t="s">
        <v>726</v>
      </c>
    </row>
    <row r="21" spans="1:5">
      <c r="A21" s="53" t="s">
        <v>144</v>
      </c>
      <c r="B21" s="53" t="s">
        <v>145</v>
      </c>
      <c r="C21" s="53" t="s">
        <v>106</v>
      </c>
      <c r="D21" s="117" t="s">
        <v>113</v>
      </c>
      <c r="E21" s="54" t="s">
        <v>726</v>
      </c>
    </row>
    <row r="22" spans="1:5">
      <c r="A22" s="53" t="s">
        <v>146</v>
      </c>
      <c r="B22" s="53" t="s">
        <v>147</v>
      </c>
      <c r="C22" s="53" t="s">
        <v>106</v>
      </c>
      <c r="D22" s="117" t="s">
        <v>110</v>
      </c>
      <c r="E22" s="54" t="s">
        <v>726</v>
      </c>
    </row>
    <row r="23" spans="1:5">
      <c r="A23" s="53" t="s">
        <v>148</v>
      </c>
      <c r="B23" s="53" t="s">
        <v>149</v>
      </c>
      <c r="C23" s="53" t="s">
        <v>106</v>
      </c>
      <c r="D23" s="117" t="s">
        <v>150</v>
      </c>
      <c r="E23" s="54" t="s">
        <v>726</v>
      </c>
    </row>
    <row r="24" spans="1:5">
      <c r="A24" s="53" t="s">
        <v>151</v>
      </c>
      <c r="B24" s="53" t="s">
        <v>152</v>
      </c>
      <c r="C24" s="53" t="s">
        <v>106</v>
      </c>
      <c r="D24" s="117" t="s">
        <v>113</v>
      </c>
      <c r="E24" s="54" t="s">
        <v>726</v>
      </c>
    </row>
    <row r="25" spans="1:5">
      <c r="A25" s="53" t="s">
        <v>153</v>
      </c>
      <c r="B25" s="53" t="s">
        <v>154</v>
      </c>
      <c r="C25" s="53" t="s">
        <v>106</v>
      </c>
      <c r="D25" s="117" t="s">
        <v>155</v>
      </c>
      <c r="E25" s="54" t="s">
        <v>726</v>
      </c>
    </row>
    <row r="26" spans="1:5">
      <c r="A26" s="53" t="s">
        <v>156</v>
      </c>
      <c r="B26" s="53" t="s">
        <v>157</v>
      </c>
      <c r="C26" s="53" t="s">
        <v>158</v>
      </c>
      <c r="D26" s="117" t="s">
        <v>113</v>
      </c>
      <c r="E26" s="54" t="s">
        <v>726</v>
      </c>
    </row>
    <row r="27" spans="1:5">
      <c r="A27" s="53" t="s">
        <v>159</v>
      </c>
      <c r="B27" s="53" t="s">
        <v>152</v>
      </c>
      <c r="C27" s="53" t="s">
        <v>106</v>
      </c>
      <c r="D27" s="117" t="s">
        <v>113</v>
      </c>
      <c r="E27" s="54" t="s">
        <v>726</v>
      </c>
    </row>
    <row r="28" spans="1:5">
      <c r="A28" s="53" t="s">
        <v>160</v>
      </c>
      <c r="B28" s="53" t="s">
        <v>161</v>
      </c>
      <c r="C28" s="53" t="s">
        <v>106</v>
      </c>
      <c r="D28" s="117" t="s">
        <v>113</v>
      </c>
      <c r="E28" s="54" t="s">
        <v>726</v>
      </c>
    </row>
    <row r="29" spans="1:5">
      <c r="A29" s="53" t="s">
        <v>162</v>
      </c>
      <c r="B29" s="53" t="s">
        <v>163</v>
      </c>
      <c r="C29" s="53" t="s">
        <v>106</v>
      </c>
      <c r="D29" s="117" t="s">
        <v>127</v>
      </c>
      <c r="E29" s="54" t="s">
        <v>726</v>
      </c>
    </row>
    <row r="30" spans="1:5">
      <c r="A30" s="53" t="s">
        <v>164</v>
      </c>
      <c r="B30" s="53" t="s">
        <v>165</v>
      </c>
      <c r="C30" s="53" t="s">
        <v>158</v>
      </c>
      <c r="D30" s="117" t="s">
        <v>166</v>
      </c>
      <c r="E30" s="54" t="s">
        <v>726</v>
      </c>
    </row>
    <row r="31" spans="1:5">
      <c r="A31" s="53" t="s">
        <v>167</v>
      </c>
      <c r="B31" s="53" t="s">
        <v>168</v>
      </c>
      <c r="C31" s="53" t="s">
        <v>106</v>
      </c>
      <c r="D31" s="117" t="s">
        <v>127</v>
      </c>
      <c r="E31" s="54" t="s">
        <v>726</v>
      </c>
    </row>
    <row r="32" spans="1:5">
      <c r="A32" s="53" t="s">
        <v>169</v>
      </c>
      <c r="B32" s="53" t="s">
        <v>170</v>
      </c>
      <c r="C32" s="53" t="s">
        <v>106</v>
      </c>
      <c r="D32" s="117" t="s">
        <v>127</v>
      </c>
      <c r="E32" s="54" t="s">
        <v>726</v>
      </c>
    </row>
    <row r="33" spans="1:6">
      <c r="A33" s="53" t="s">
        <v>171</v>
      </c>
      <c r="B33" s="53" t="s">
        <v>172</v>
      </c>
      <c r="C33" s="53" t="s">
        <v>106</v>
      </c>
      <c r="D33" s="117" t="s">
        <v>127</v>
      </c>
      <c r="E33" s="54" t="s">
        <v>726</v>
      </c>
    </row>
    <row r="34" spans="1:6">
      <c r="A34" s="53" t="s">
        <v>173</v>
      </c>
      <c r="B34" s="53" t="s">
        <v>174</v>
      </c>
      <c r="C34" s="53" t="s">
        <v>106</v>
      </c>
      <c r="D34" s="117" t="s">
        <v>122</v>
      </c>
      <c r="E34" s="54" t="s">
        <v>726</v>
      </c>
    </row>
    <row r="35" spans="1:6">
      <c r="A35" s="53" t="s">
        <v>175</v>
      </c>
      <c r="B35" s="55" t="s">
        <v>176</v>
      </c>
      <c r="C35" s="53" t="s">
        <v>106</v>
      </c>
      <c r="D35" s="117" t="s">
        <v>155</v>
      </c>
      <c r="E35" s="54" t="s">
        <v>726</v>
      </c>
    </row>
    <row r="36" spans="1:6">
      <c r="A36" s="53" t="s">
        <v>177</v>
      </c>
      <c r="B36" s="53" t="s">
        <v>178</v>
      </c>
      <c r="C36" s="53" t="s">
        <v>106</v>
      </c>
      <c r="D36" s="117" t="s">
        <v>155</v>
      </c>
      <c r="E36" s="54" t="s">
        <v>726</v>
      </c>
    </row>
    <row r="37" spans="1:6">
      <c r="A37" s="53" t="s">
        <v>179</v>
      </c>
      <c r="B37" s="53" t="s">
        <v>180</v>
      </c>
      <c r="C37" s="53" t="s">
        <v>106</v>
      </c>
      <c r="D37" s="117" t="s">
        <v>155</v>
      </c>
      <c r="E37" s="54" t="s">
        <v>726</v>
      </c>
    </row>
    <row r="38" spans="1:6" s="49" customFormat="1">
      <c r="A38" s="53" t="s">
        <v>181</v>
      </c>
      <c r="B38" s="55" t="s">
        <v>182</v>
      </c>
      <c r="C38" s="53" t="s">
        <v>106</v>
      </c>
      <c r="D38" s="117" t="s">
        <v>183</v>
      </c>
      <c r="E38" s="54" t="s">
        <v>726</v>
      </c>
    </row>
    <row r="39" spans="1:6" s="49" customFormat="1">
      <c r="A39" s="53" t="s">
        <v>184</v>
      </c>
      <c r="B39" s="53" t="s">
        <v>185</v>
      </c>
      <c r="C39" s="53" t="s">
        <v>106</v>
      </c>
      <c r="D39" s="117" t="s">
        <v>155</v>
      </c>
      <c r="E39" s="54" t="s">
        <v>726</v>
      </c>
    </row>
    <row r="40" spans="1:6" s="49" customFormat="1">
      <c r="A40" s="53" t="s">
        <v>186</v>
      </c>
      <c r="B40" s="55" t="s">
        <v>187</v>
      </c>
      <c r="C40" s="53" t="s">
        <v>106</v>
      </c>
      <c r="D40" s="117" t="s">
        <v>188</v>
      </c>
      <c r="E40" s="54" t="s">
        <v>726</v>
      </c>
    </row>
    <row r="41" spans="1:6" s="49" customFormat="1">
      <c r="A41" s="53" t="s">
        <v>189</v>
      </c>
      <c r="B41" s="53" t="s">
        <v>190</v>
      </c>
      <c r="C41" s="53" t="s">
        <v>106</v>
      </c>
      <c r="D41" s="117" t="s">
        <v>155</v>
      </c>
      <c r="E41" s="54" t="s">
        <v>726</v>
      </c>
    </row>
    <row r="42" spans="1:6" s="49" customFormat="1">
      <c r="A42" s="53" t="s">
        <v>191</v>
      </c>
      <c r="B42" s="55" t="s">
        <v>192</v>
      </c>
      <c r="C42" s="53" t="s">
        <v>106</v>
      </c>
      <c r="D42" s="117" t="s">
        <v>193</v>
      </c>
      <c r="E42" s="54" t="s">
        <v>726</v>
      </c>
    </row>
    <row r="43" spans="1:6" s="49" customFormat="1">
      <c r="A43" s="53" t="s">
        <v>194</v>
      </c>
      <c r="B43" s="53" t="s">
        <v>195</v>
      </c>
      <c r="C43" s="53" t="s">
        <v>106</v>
      </c>
      <c r="D43" s="117" t="s">
        <v>155</v>
      </c>
      <c r="E43" s="54" t="s">
        <v>726</v>
      </c>
    </row>
    <row r="44" spans="1:6" s="49" customFormat="1">
      <c r="A44" s="53" t="s">
        <v>196</v>
      </c>
      <c r="B44" s="55" t="s">
        <v>197</v>
      </c>
      <c r="C44" s="53" t="s">
        <v>106</v>
      </c>
      <c r="D44" s="117" t="s">
        <v>198</v>
      </c>
      <c r="E44" s="54" t="s">
        <v>726</v>
      </c>
    </row>
    <row r="45" spans="1:6" s="49" customFormat="1">
      <c r="A45" s="53" t="s">
        <v>199</v>
      </c>
      <c r="B45" s="53" t="s">
        <v>200</v>
      </c>
      <c r="C45" s="53" t="s">
        <v>106</v>
      </c>
      <c r="D45" s="117" t="s">
        <v>127</v>
      </c>
      <c r="E45" s="54" t="s">
        <v>726</v>
      </c>
    </row>
    <row r="46" spans="1:6" s="49" customFormat="1">
      <c r="A46" s="56" t="s">
        <v>201</v>
      </c>
      <c r="B46" s="56" t="s">
        <v>202</v>
      </c>
      <c r="C46" s="56" t="s">
        <v>106</v>
      </c>
      <c r="D46" s="118" t="s">
        <v>113</v>
      </c>
      <c r="E46" s="54" t="s">
        <v>726</v>
      </c>
      <c r="F46" s="50"/>
    </row>
    <row r="47" spans="1:6" s="49" customFormat="1">
      <c r="A47" s="53" t="s">
        <v>203</v>
      </c>
      <c r="B47" s="55" t="s">
        <v>204</v>
      </c>
      <c r="C47" s="53" t="s">
        <v>106</v>
      </c>
      <c r="D47" s="117" t="s">
        <v>113</v>
      </c>
      <c r="E47" s="54" t="s">
        <v>726</v>
      </c>
    </row>
    <row r="48" spans="1:6" s="49" customFormat="1">
      <c r="A48" s="53" t="s">
        <v>205</v>
      </c>
      <c r="B48" s="55" t="s">
        <v>206</v>
      </c>
      <c r="C48" s="53" t="s">
        <v>106</v>
      </c>
      <c r="D48" s="117" t="s">
        <v>198</v>
      </c>
      <c r="E48" s="54" t="s">
        <v>726</v>
      </c>
    </row>
    <row r="49" spans="1:6" s="49" customFormat="1">
      <c r="A49" s="53" t="s">
        <v>207</v>
      </c>
      <c r="B49" s="55" t="s">
        <v>208</v>
      </c>
      <c r="C49" s="53" t="s">
        <v>106</v>
      </c>
      <c r="D49" s="117" t="s">
        <v>127</v>
      </c>
      <c r="E49" s="54" t="s">
        <v>726</v>
      </c>
    </row>
    <row r="50" spans="1:6" s="49" customFormat="1">
      <c r="A50" s="53" t="s">
        <v>209</v>
      </c>
      <c r="B50" s="55" t="s">
        <v>210</v>
      </c>
      <c r="C50" s="53" t="s">
        <v>158</v>
      </c>
      <c r="D50" s="117" t="s">
        <v>113</v>
      </c>
      <c r="E50" s="54" t="s">
        <v>726</v>
      </c>
    </row>
    <row r="51" spans="1:6" s="49" customFormat="1">
      <c r="A51" s="57" t="s">
        <v>211</v>
      </c>
      <c r="B51" s="57" t="s">
        <v>212</v>
      </c>
      <c r="C51" s="53" t="s">
        <v>106</v>
      </c>
      <c r="D51" s="117" t="s">
        <v>113</v>
      </c>
      <c r="E51" s="54" t="s">
        <v>726</v>
      </c>
    </row>
    <row r="52" spans="1:6" s="49" customFormat="1">
      <c r="A52" s="57" t="s">
        <v>213</v>
      </c>
      <c r="B52" s="58" t="s">
        <v>214</v>
      </c>
      <c r="C52" s="53" t="s">
        <v>106</v>
      </c>
      <c r="D52" s="117" t="s">
        <v>113</v>
      </c>
      <c r="E52" s="54" t="s">
        <v>726</v>
      </c>
    </row>
    <row r="53" spans="1:6">
      <c r="A53" s="57" t="s">
        <v>215</v>
      </c>
      <c r="B53" s="57" t="s">
        <v>202</v>
      </c>
      <c r="C53" s="53" t="s">
        <v>106</v>
      </c>
      <c r="D53" s="117" t="s">
        <v>113</v>
      </c>
      <c r="E53" s="54" t="s">
        <v>726</v>
      </c>
      <c r="F53" s="49"/>
    </row>
    <row r="54" spans="1:6">
      <c r="A54" s="53" t="s">
        <v>216</v>
      </c>
      <c r="B54" s="53" t="s">
        <v>217</v>
      </c>
      <c r="C54" s="53" t="s">
        <v>106</v>
      </c>
      <c r="D54" s="117" t="s">
        <v>155</v>
      </c>
      <c r="E54" s="54" t="s">
        <v>726</v>
      </c>
    </row>
    <row r="56" spans="1:6">
      <c r="A56" s="105" t="s">
        <v>218</v>
      </c>
      <c r="B56" s="105"/>
    </row>
    <row r="57" spans="1:6">
      <c r="A57" s="72" t="s">
        <v>99</v>
      </c>
      <c r="B57" s="72" t="s">
        <v>219</v>
      </c>
    </row>
    <row r="58" spans="1:6" ht="57" customHeight="1">
      <c r="A58" s="73" t="s">
        <v>220</v>
      </c>
      <c r="B58" s="75" t="s">
        <v>221</v>
      </c>
    </row>
    <row r="59" spans="1:6">
      <c r="A59" s="73" t="s">
        <v>222</v>
      </c>
      <c r="B59" s="74" t="s">
        <v>223</v>
      </c>
    </row>
    <row r="60" spans="1:6">
      <c r="A60" s="73" t="s">
        <v>224</v>
      </c>
      <c r="B60" s="74" t="s">
        <v>225</v>
      </c>
    </row>
  </sheetData>
  <mergeCells count="2">
    <mergeCell ref="A2:D2"/>
    <mergeCell ref="A56:B56"/>
  </mergeCells>
  <phoneticPr fontId="2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8"/>
  <sheetViews>
    <sheetView workbookViewId="0">
      <selection activeCell="B33" sqref="B33"/>
    </sheetView>
  </sheetViews>
  <sheetFormatPr defaultColWidth="8.875" defaultRowHeight="16.5"/>
  <cols>
    <col min="1" max="1" width="28.875" style="24" customWidth="1"/>
    <col min="2" max="2" width="51" style="24" customWidth="1"/>
    <col min="3" max="3" width="62" style="24" customWidth="1"/>
    <col min="4" max="4" width="54.125" style="24" customWidth="1"/>
    <col min="5" max="16384" width="8.875" style="24"/>
  </cols>
  <sheetData>
    <row r="1" spans="1:4">
      <c r="A1" s="106" t="s">
        <v>727</v>
      </c>
      <c r="B1" s="106"/>
      <c r="C1" s="106"/>
      <c r="D1" s="106"/>
    </row>
    <row r="2" spans="1:4">
      <c r="A2" s="43" t="s">
        <v>226</v>
      </c>
      <c r="B2" s="43" t="s">
        <v>219</v>
      </c>
      <c r="C2" s="43" t="s">
        <v>103</v>
      </c>
      <c r="D2" s="42"/>
    </row>
    <row r="3" spans="1:4">
      <c r="A3" s="84" t="s">
        <v>227</v>
      </c>
      <c r="B3" s="84" t="s">
        <v>228</v>
      </c>
      <c r="C3" s="85" t="s">
        <v>229</v>
      </c>
      <c r="D3" s="42"/>
    </row>
    <row r="4" spans="1:4">
      <c r="A4" s="85" t="s">
        <v>230</v>
      </c>
      <c r="B4" s="85" t="s">
        <v>231</v>
      </c>
      <c r="C4" s="85" t="s">
        <v>229</v>
      </c>
      <c r="D4" s="42"/>
    </row>
    <row r="5" spans="1:4">
      <c r="A5" s="86" t="s">
        <v>232</v>
      </c>
      <c r="B5" s="85" t="s">
        <v>233</v>
      </c>
      <c r="C5" s="85" t="s">
        <v>229</v>
      </c>
      <c r="D5" s="42"/>
    </row>
    <row r="6" spans="1:4">
      <c r="A6" s="85" t="s">
        <v>234</v>
      </c>
      <c r="B6" s="85" t="s">
        <v>235</v>
      </c>
      <c r="C6" s="85" t="s">
        <v>229</v>
      </c>
      <c r="D6" s="42"/>
    </row>
    <row r="7" spans="1:4">
      <c r="A7" s="87" t="s">
        <v>236</v>
      </c>
      <c r="B7" s="87" t="s">
        <v>237</v>
      </c>
      <c r="C7" s="87" t="s">
        <v>229</v>
      </c>
      <c r="D7" s="42"/>
    </row>
    <row r="8" spans="1:4">
      <c r="A8" s="42"/>
      <c r="B8" s="42"/>
      <c r="C8" s="42"/>
      <c r="D8" s="42"/>
    </row>
    <row r="9" spans="1:4">
      <c r="A9" s="44" t="s">
        <v>238</v>
      </c>
      <c r="B9" s="44" t="s">
        <v>239</v>
      </c>
      <c r="C9" s="44" t="s">
        <v>240</v>
      </c>
      <c r="D9" s="44" t="s">
        <v>241</v>
      </c>
    </row>
    <row r="10" spans="1:4" ht="15.6" customHeight="1">
      <c r="A10" s="76" t="s">
        <v>242</v>
      </c>
      <c r="B10" s="76" t="s">
        <v>243</v>
      </c>
      <c r="C10" s="76" t="s">
        <v>244</v>
      </c>
      <c r="D10" s="45" t="s">
        <v>245</v>
      </c>
    </row>
    <row r="11" spans="1:4" ht="15.6" customHeight="1">
      <c r="A11" s="88" t="s">
        <v>246</v>
      </c>
      <c r="B11" s="88" t="s">
        <v>247</v>
      </c>
      <c r="C11" s="88" t="s">
        <v>248</v>
      </c>
      <c r="D11" s="46" t="s">
        <v>249</v>
      </c>
    </row>
    <row r="12" spans="1:4">
      <c r="A12" s="88" t="s">
        <v>250</v>
      </c>
      <c r="B12" s="88" t="s">
        <v>251</v>
      </c>
      <c r="C12" s="88" t="s">
        <v>244</v>
      </c>
      <c r="D12" s="46" t="s">
        <v>252</v>
      </c>
    </row>
    <row r="13" spans="1:4">
      <c r="A13" s="88" t="s">
        <v>253</v>
      </c>
      <c r="B13" s="88" t="s">
        <v>254</v>
      </c>
      <c r="C13" s="88" t="s">
        <v>248</v>
      </c>
      <c r="D13" s="46" t="s">
        <v>255</v>
      </c>
    </row>
    <row r="14" spans="1:4">
      <c r="A14" s="88" t="s">
        <v>256</v>
      </c>
      <c r="B14" s="88" t="s">
        <v>257</v>
      </c>
      <c r="C14" s="88" t="s">
        <v>244</v>
      </c>
      <c r="D14" s="46" t="s">
        <v>258</v>
      </c>
    </row>
    <row r="15" spans="1:4" ht="18" customHeight="1">
      <c r="A15" s="88" t="s">
        <v>259</v>
      </c>
      <c r="B15" s="88" t="s">
        <v>260</v>
      </c>
      <c r="C15" s="88" t="s">
        <v>248</v>
      </c>
      <c r="D15" s="46" t="s">
        <v>261</v>
      </c>
    </row>
    <row r="16" spans="1:4">
      <c r="A16" s="88" t="s">
        <v>262</v>
      </c>
      <c r="B16" s="88" t="s">
        <v>263</v>
      </c>
      <c r="C16" s="88" t="s">
        <v>244</v>
      </c>
      <c r="D16" s="46" t="s">
        <v>252</v>
      </c>
    </row>
    <row r="17" spans="1:4">
      <c r="A17" s="88" t="s">
        <v>264</v>
      </c>
      <c r="B17" s="88" t="s">
        <v>265</v>
      </c>
      <c r="C17" s="88" t="s">
        <v>248</v>
      </c>
      <c r="D17" s="46" t="s">
        <v>266</v>
      </c>
    </row>
    <row r="18" spans="1:4">
      <c r="A18" s="88" t="s">
        <v>267</v>
      </c>
      <c r="B18" s="88" t="s">
        <v>268</v>
      </c>
      <c r="C18" s="88" t="s">
        <v>244</v>
      </c>
      <c r="D18" s="46" t="s">
        <v>269</v>
      </c>
    </row>
    <row r="19" spans="1:4">
      <c r="A19" s="88" t="s">
        <v>270</v>
      </c>
      <c r="B19" s="88" t="s">
        <v>271</v>
      </c>
      <c r="C19" s="88" t="s">
        <v>248</v>
      </c>
      <c r="D19" s="46" t="s">
        <v>272</v>
      </c>
    </row>
    <row r="20" spans="1:4" ht="14.1" customHeight="1">
      <c r="A20" s="88" t="s">
        <v>273</v>
      </c>
      <c r="B20" s="88" t="s">
        <v>274</v>
      </c>
      <c r="C20" s="88" t="s">
        <v>244</v>
      </c>
      <c r="D20" s="46" t="s">
        <v>275</v>
      </c>
    </row>
    <row r="21" spans="1:4">
      <c r="A21" s="88" t="s">
        <v>276</v>
      </c>
      <c r="B21" s="88" t="s">
        <v>277</v>
      </c>
      <c r="C21" s="88" t="s">
        <v>248</v>
      </c>
      <c r="D21" s="46" t="s">
        <v>278</v>
      </c>
    </row>
    <row r="22" spans="1:4">
      <c r="A22" s="88" t="s">
        <v>279</v>
      </c>
      <c r="B22" s="88" t="s">
        <v>280</v>
      </c>
      <c r="C22" s="88" t="s">
        <v>244</v>
      </c>
      <c r="D22" s="46" t="s">
        <v>281</v>
      </c>
    </row>
    <row r="23" spans="1:4">
      <c r="A23" s="88" t="s">
        <v>282</v>
      </c>
      <c r="B23" s="88" t="s">
        <v>283</v>
      </c>
      <c r="C23" s="88" t="s">
        <v>248</v>
      </c>
      <c r="D23" s="46" t="s">
        <v>284</v>
      </c>
    </row>
    <row r="24" spans="1:4">
      <c r="A24" s="88" t="s">
        <v>285</v>
      </c>
      <c r="B24" s="88" t="s">
        <v>286</v>
      </c>
      <c r="C24" s="88" t="s">
        <v>244</v>
      </c>
      <c r="D24" s="46" t="s">
        <v>287</v>
      </c>
    </row>
    <row r="25" spans="1:4">
      <c r="A25" s="88" t="s">
        <v>288</v>
      </c>
      <c r="B25" s="88" t="s">
        <v>289</v>
      </c>
      <c r="C25" s="88" t="s">
        <v>248</v>
      </c>
      <c r="D25" s="46" t="s">
        <v>290</v>
      </c>
    </row>
    <row r="26" spans="1:4">
      <c r="A26" s="88" t="s">
        <v>291</v>
      </c>
      <c r="B26" s="88" t="s">
        <v>292</v>
      </c>
      <c r="C26" s="88" t="s">
        <v>244</v>
      </c>
      <c r="D26" s="46" t="s">
        <v>293</v>
      </c>
    </row>
    <row r="27" spans="1:4">
      <c r="A27" s="88" t="s">
        <v>294</v>
      </c>
      <c r="B27" s="88" t="s">
        <v>295</v>
      </c>
      <c r="C27" s="88" t="s">
        <v>248</v>
      </c>
      <c r="D27" s="46" t="s">
        <v>296</v>
      </c>
    </row>
    <row r="28" spans="1:4">
      <c r="A28" s="88" t="s">
        <v>297</v>
      </c>
      <c r="B28" s="88" t="s">
        <v>298</v>
      </c>
      <c r="C28" s="88" t="s">
        <v>244</v>
      </c>
      <c r="D28" s="46" t="s">
        <v>299</v>
      </c>
    </row>
    <row r="29" spans="1:4">
      <c r="A29" s="88" t="s">
        <v>300</v>
      </c>
      <c r="B29" s="88" t="s">
        <v>301</v>
      </c>
      <c r="C29" s="88" t="s">
        <v>248</v>
      </c>
      <c r="D29" s="46" t="s">
        <v>302</v>
      </c>
    </row>
    <row r="30" spans="1:4">
      <c r="A30" s="88" t="s">
        <v>303</v>
      </c>
      <c r="B30" s="88" t="s">
        <v>304</v>
      </c>
      <c r="C30" s="88" t="s">
        <v>244</v>
      </c>
      <c r="D30" s="46" t="s">
        <v>305</v>
      </c>
    </row>
    <row r="31" spans="1:4">
      <c r="A31" s="88" t="s">
        <v>306</v>
      </c>
      <c r="B31" s="88" t="s">
        <v>307</v>
      </c>
      <c r="C31" s="88" t="s">
        <v>248</v>
      </c>
      <c r="D31" s="46" t="s">
        <v>308</v>
      </c>
    </row>
    <row r="32" spans="1:4">
      <c r="A32" s="88" t="s">
        <v>309</v>
      </c>
      <c r="B32" s="88" t="s">
        <v>310</v>
      </c>
      <c r="C32" s="88" t="s">
        <v>244</v>
      </c>
      <c r="D32" s="46" t="s">
        <v>311</v>
      </c>
    </row>
    <row r="33" spans="1:4">
      <c r="A33" s="88" t="s">
        <v>312</v>
      </c>
      <c r="B33" s="88" t="s">
        <v>313</v>
      </c>
      <c r="C33" s="88" t="s">
        <v>248</v>
      </c>
      <c r="D33" s="46" t="s">
        <v>314</v>
      </c>
    </row>
    <row r="34" spans="1:4">
      <c r="A34" s="88" t="s">
        <v>315</v>
      </c>
      <c r="B34" s="88" t="s">
        <v>316</v>
      </c>
      <c r="C34" s="88" t="s">
        <v>244</v>
      </c>
      <c r="D34" s="46" t="s">
        <v>317</v>
      </c>
    </row>
    <row r="35" spans="1:4">
      <c r="A35" s="88" t="s">
        <v>318</v>
      </c>
      <c r="B35" s="88" t="s">
        <v>319</v>
      </c>
      <c r="C35" s="88" t="s">
        <v>248</v>
      </c>
      <c r="D35" s="46" t="s">
        <v>320</v>
      </c>
    </row>
    <row r="36" spans="1:4">
      <c r="A36" s="88" t="s">
        <v>321</v>
      </c>
      <c r="B36" s="88" t="s">
        <v>322</v>
      </c>
      <c r="C36" s="88" t="s">
        <v>244</v>
      </c>
      <c r="D36" s="46" t="s">
        <v>323</v>
      </c>
    </row>
    <row r="37" spans="1:4">
      <c r="A37" s="89" t="s">
        <v>324</v>
      </c>
      <c r="B37" s="89" t="s">
        <v>325</v>
      </c>
      <c r="C37" s="89" t="s">
        <v>248</v>
      </c>
      <c r="D37" s="47" t="s">
        <v>326</v>
      </c>
    </row>
    <row r="38" spans="1:4">
      <c r="A38" s="88"/>
      <c r="B38" s="88"/>
      <c r="C38" s="88"/>
      <c r="D38" s="46"/>
    </row>
    <row r="39" spans="1:4">
      <c r="A39" s="76" t="s">
        <v>327</v>
      </c>
      <c r="B39" s="76" t="s">
        <v>328</v>
      </c>
      <c r="C39" s="76" t="s">
        <v>329</v>
      </c>
      <c r="D39" s="46"/>
    </row>
    <row r="40" spans="1:4" ht="251.1" customHeight="1">
      <c r="A40" s="76">
        <v>1</v>
      </c>
      <c r="B40" s="76" t="s">
        <v>330</v>
      </c>
      <c r="C40" s="48" t="s">
        <v>331</v>
      </c>
    </row>
    <row r="41" spans="1:4">
      <c r="A41" s="77">
        <v>2</v>
      </c>
      <c r="B41" s="78" t="s">
        <v>332</v>
      </c>
      <c r="C41" s="79" t="s">
        <v>333</v>
      </c>
    </row>
    <row r="42" spans="1:4">
      <c r="A42" s="77">
        <v>3</v>
      </c>
      <c r="B42" s="78" t="s">
        <v>334</v>
      </c>
      <c r="C42" s="79" t="s">
        <v>335</v>
      </c>
    </row>
    <row r="43" spans="1:4">
      <c r="A43" s="77">
        <v>4</v>
      </c>
      <c r="B43" s="78" t="s">
        <v>336</v>
      </c>
      <c r="C43" s="79" t="s">
        <v>337</v>
      </c>
    </row>
    <row r="44" spans="1:4">
      <c r="A44" s="77">
        <v>5</v>
      </c>
      <c r="B44" s="80" t="s">
        <v>338</v>
      </c>
      <c r="C44" s="79" t="s">
        <v>339</v>
      </c>
    </row>
    <row r="45" spans="1:4">
      <c r="A45" s="77">
        <v>6</v>
      </c>
      <c r="B45" s="80" t="s">
        <v>340</v>
      </c>
      <c r="C45" s="79" t="s">
        <v>341</v>
      </c>
    </row>
    <row r="46" spans="1:4">
      <c r="A46" s="77">
        <v>7</v>
      </c>
      <c r="B46" s="80" t="s">
        <v>342</v>
      </c>
      <c r="C46" s="79" t="s">
        <v>343</v>
      </c>
    </row>
    <row r="47" spans="1:4">
      <c r="A47" s="77">
        <v>8</v>
      </c>
      <c r="B47" s="80" t="s">
        <v>344</v>
      </c>
      <c r="C47" s="79" t="s">
        <v>345</v>
      </c>
    </row>
    <row r="48" spans="1:4">
      <c r="A48" s="81">
        <v>9</v>
      </c>
      <c r="B48" s="82" t="s">
        <v>346</v>
      </c>
      <c r="C48" s="83" t="s">
        <v>347</v>
      </c>
    </row>
  </sheetData>
  <mergeCells count="1">
    <mergeCell ref="A1:D1"/>
  </mergeCells>
  <phoneticPr fontId="26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zoomScale="145" zoomScaleNormal="145" workbookViewId="0">
      <selection activeCell="B1" sqref="B1"/>
    </sheetView>
  </sheetViews>
  <sheetFormatPr defaultColWidth="8.875" defaultRowHeight="16.5"/>
  <cols>
    <col min="1" max="1" width="17.875" style="24" customWidth="1"/>
    <col min="2" max="2" width="17.125" style="24" customWidth="1"/>
    <col min="3" max="3" width="17.375" style="24" customWidth="1"/>
    <col min="4" max="4" width="33.875" style="24" customWidth="1"/>
    <col min="5" max="16384" width="8.875" style="24"/>
  </cols>
  <sheetData>
    <row r="1" spans="1:9">
      <c r="A1" s="119" t="s">
        <v>728</v>
      </c>
    </row>
    <row r="2" spans="1:9">
      <c r="A2" s="109" t="s">
        <v>348</v>
      </c>
      <c r="B2" s="109"/>
      <c r="C2" s="109"/>
      <c r="D2" s="109"/>
    </row>
    <row r="3" spans="1:9">
      <c r="A3" s="93" t="s">
        <v>349</v>
      </c>
      <c r="B3" s="110" t="s">
        <v>350</v>
      </c>
      <c r="C3" s="110"/>
      <c r="D3" s="110"/>
    </row>
    <row r="4" spans="1:9">
      <c r="A4" s="94" t="s">
        <v>351</v>
      </c>
      <c r="B4" s="107" t="s">
        <v>352</v>
      </c>
      <c r="C4" s="107"/>
      <c r="D4" s="107"/>
    </row>
    <row r="5" spans="1:9" ht="14.1" customHeight="1">
      <c r="A5" s="95" t="s">
        <v>353</v>
      </c>
      <c r="B5" s="112" t="s">
        <v>354</v>
      </c>
      <c r="C5" s="112"/>
      <c r="D5" s="112"/>
    </row>
    <row r="6" spans="1:9" ht="24">
      <c r="A6" s="94" t="s">
        <v>355</v>
      </c>
      <c r="B6" s="38" t="s">
        <v>356</v>
      </c>
      <c r="C6" s="39" t="s">
        <v>357</v>
      </c>
      <c r="D6" s="39" t="s">
        <v>358</v>
      </c>
    </row>
    <row r="7" spans="1:9">
      <c r="A7" s="94"/>
      <c r="B7" s="38">
        <v>1</v>
      </c>
      <c r="C7" s="38">
        <v>100</v>
      </c>
      <c r="D7" s="38">
        <v>0</v>
      </c>
    </row>
    <row r="8" spans="1:9">
      <c r="A8" s="94"/>
      <c r="B8" s="38">
        <v>3</v>
      </c>
      <c r="C8" s="38">
        <v>100</v>
      </c>
      <c r="D8" s="38">
        <v>0</v>
      </c>
    </row>
    <row r="9" spans="1:9">
      <c r="A9" s="94"/>
      <c r="B9" s="38">
        <v>10</v>
      </c>
      <c r="C9" s="38">
        <v>10</v>
      </c>
      <c r="D9" s="38">
        <v>90</v>
      </c>
    </row>
    <row r="10" spans="1:9">
      <c r="A10" s="94"/>
      <c r="B10" s="38">
        <v>12</v>
      </c>
      <c r="C10" s="38">
        <v>10</v>
      </c>
      <c r="D10" s="38">
        <v>90</v>
      </c>
    </row>
    <row r="11" spans="1:9">
      <c r="A11" s="94"/>
      <c r="B11" s="38">
        <v>12.52</v>
      </c>
      <c r="C11" s="38">
        <v>100</v>
      </c>
      <c r="D11" s="38">
        <v>0</v>
      </c>
    </row>
    <row r="12" spans="1:9">
      <c r="A12" s="95"/>
      <c r="B12" s="96">
        <v>20</v>
      </c>
      <c r="C12" s="96">
        <v>0</v>
      </c>
      <c r="D12" s="96">
        <v>0</v>
      </c>
    </row>
    <row r="13" spans="1:9">
      <c r="A13" s="94" t="s">
        <v>359</v>
      </c>
      <c r="B13" s="107" t="s">
        <v>729</v>
      </c>
      <c r="C13" s="107"/>
      <c r="D13" s="107"/>
    </row>
    <row r="14" spans="1:9">
      <c r="A14" s="94" t="s">
        <v>360</v>
      </c>
      <c r="B14" s="107" t="s">
        <v>730</v>
      </c>
      <c r="C14" s="107"/>
      <c r="D14" s="107"/>
      <c r="F14" s="94"/>
      <c r="G14" s="94"/>
      <c r="H14" s="94"/>
      <c r="I14" s="94"/>
    </row>
    <row r="15" spans="1:9">
      <c r="A15" s="94" t="s">
        <v>361</v>
      </c>
      <c r="B15" s="114" t="s">
        <v>362</v>
      </c>
      <c r="C15" s="107"/>
      <c r="D15" s="107"/>
      <c r="F15" s="94"/>
      <c r="G15" s="94"/>
      <c r="H15" s="94"/>
      <c r="I15" s="94"/>
    </row>
    <row r="16" spans="1:9">
      <c r="A16" s="94" t="s">
        <v>363</v>
      </c>
      <c r="B16" s="107" t="s">
        <v>364</v>
      </c>
      <c r="C16" s="107"/>
      <c r="D16" s="107"/>
      <c r="F16" s="94"/>
      <c r="G16" s="94"/>
      <c r="H16" s="94"/>
      <c r="I16" s="94"/>
    </row>
    <row r="17" spans="1:9">
      <c r="A17" s="94" t="s">
        <v>365</v>
      </c>
      <c r="B17" s="107" t="s">
        <v>731</v>
      </c>
      <c r="C17" s="107"/>
      <c r="D17" s="107"/>
      <c r="F17" s="94"/>
      <c r="G17" s="94"/>
      <c r="H17" s="94"/>
      <c r="I17" s="94"/>
    </row>
    <row r="18" spans="1:9">
      <c r="A18" s="94" t="s">
        <v>366</v>
      </c>
      <c r="B18" s="107">
        <v>40</v>
      </c>
      <c r="C18" s="107"/>
      <c r="D18" s="107"/>
      <c r="F18" s="94"/>
      <c r="G18" s="107"/>
      <c r="H18" s="107"/>
      <c r="I18" s="107"/>
    </row>
    <row r="19" spans="1:9">
      <c r="A19" s="94" t="s">
        <v>367</v>
      </c>
      <c r="B19" s="107" t="s">
        <v>368</v>
      </c>
      <c r="C19" s="107"/>
      <c r="D19" s="107"/>
      <c r="F19" s="94"/>
      <c r="G19" s="94"/>
      <c r="H19" s="94"/>
      <c r="I19" s="94"/>
    </row>
    <row r="20" spans="1:9">
      <c r="A20" s="94" t="s">
        <v>369</v>
      </c>
      <c r="B20" s="107">
        <v>5500</v>
      </c>
      <c r="C20" s="107"/>
      <c r="D20" s="107"/>
      <c r="F20" s="94"/>
      <c r="G20" s="94"/>
      <c r="H20" s="94"/>
      <c r="I20" s="94"/>
    </row>
    <row r="21" spans="1:9">
      <c r="A21" s="94" t="s">
        <v>370</v>
      </c>
      <c r="B21" s="107">
        <v>40</v>
      </c>
      <c r="C21" s="107"/>
      <c r="D21" s="107"/>
      <c r="F21" s="94"/>
      <c r="G21" s="94"/>
      <c r="H21" s="94"/>
      <c r="I21" s="94"/>
    </row>
    <row r="22" spans="1:9">
      <c r="A22" s="95" t="s">
        <v>371</v>
      </c>
      <c r="B22" s="113">
        <v>40</v>
      </c>
      <c r="C22" s="108"/>
      <c r="D22" s="108"/>
      <c r="F22" s="94"/>
      <c r="G22" s="94"/>
      <c r="H22" s="94"/>
      <c r="I22" s="94"/>
    </row>
    <row r="23" spans="1:9">
      <c r="F23" s="94"/>
      <c r="G23" s="94"/>
      <c r="H23" s="94"/>
      <c r="I23" s="94"/>
    </row>
    <row r="24" spans="1:9">
      <c r="A24" s="109" t="s">
        <v>348</v>
      </c>
      <c r="B24" s="109"/>
      <c r="C24" s="109"/>
      <c r="D24" s="109"/>
      <c r="F24" s="94"/>
      <c r="G24" s="94"/>
      <c r="H24" s="94"/>
      <c r="I24" s="94"/>
    </row>
    <row r="25" spans="1:9">
      <c r="A25" s="93" t="s">
        <v>349</v>
      </c>
      <c r="B25" s="110" t="s">
        <v>372</v>
      </c>
      <c r="C25" s="110"/>
      <c r="D25" s="110"/>
      <c r="F25" s="94"/>
      <c r="G25" s="94"/>
      <c r="H25" s="94"/>
      <c r="I25" s="94"/>
    </row>
    <row r="26" spans="1:9">
      <c r="A26" s="94" t="s">
        <v>351</v>
      </c>
      <c r="B26" s="111" t="s">
        <v>373</v>
      </c>
      <c r="C26" s="111"/>
      <c r="D26" s="111"/>
      <c r="F26" s="94"/>
      <c r="G26" s="94"/>
      <c r="H26" s="94"/>
      <c r="I26" s="94"/>
    </row>
    <row r="27" spans="1:9" ht="14.1" customHeight="1">
      <c r="A27" s="95" t="s">
        <v>353</v>
      </c>
      <c r="B27" s="112" t="s">
        <v>374</v>
      </c>
      <c r="C27" s="112"/>
      <c r="D27" s="112"/>
      <c r="F27" s="94"/>
      <c r="G27" s="94"/>
      <c r="H27" s="94"/>
      <c r="I27" s="94"/>
    </row>
    <row r="28" spans="1:9" ht="24">
      <c r="A28" s="97" t="s">
        <v>355</v>
      </c>
      <c r="B28" s="40" t="s">
        <v>356</v>
      </c>
      <c r="C28" s="41" t="s">
        <v>357</v>
      </c>
      <c r="D28" s="41" t="s">
        <v>358</v>
      </c>
    </row>
    <row r="29" spans="1:9">
      <c r="A29" s="94"/>
      <c r="B29" s="94">
        <v>1</v>
      </c>
      <c r="C29" s="94">
        <v>100</v>
      </c>
      <c r="D29" s="94">
        <v>0</v>
      </c>
    </row>
    <row r="30" spans="1:9">
      <c r="A30" s="94"/>
      <c r="B30" s="94">
        <v>3</v>
      </c>
      <c r="C30" s="94">
        <v>100</v>
      </c>
      <c r="D30" s="94">
        <v>0</v>
      </c>
    </row>
    <row r="31" spans="1:9">
      <c r="A31" s="94"/>
      <c r="B31" s="94">
        <v>10</v>
      </c>
      <c r="C31" s="94">
        <v>10</v>
      </c>
      <c r="D31" s="94">
        <v>90</v>
      </c>
    </row>
    <row r="32" spans="1:9">
      <c r="A32" s="94"/>
      <c r="B32" s="94">
        <v>12</v>
      </c>
      <c r="C32" s="94">
        <v>10</v>
      </c>
      <c r="D32" s="94">
        <v>90</v>
      </c>
    </row>
    <row r="33" spans="1:4">
      <c r="A33" s="94"/>
      <c r="B33" s="94">
        <v>12.52</v>
      </c>
      <c r="C33" s="94">
        <v>100</v>
      </c>
      <c r="D33" s="94">
        <v>0</v>
      </c>
    </row>
    <row r="34" spans="1:4">
      <c r="A34" s="95"/>
      <c r="B34" s="95">
        <v>20</v>
      </c>
      <c r="C34" s="95">
        <v>0</v>
      </c>
      <c r="D34" s="95">
        <v>0</v>
      </c>
    </row>
    <row r="35" spans="1:4">
      <c r="A35" s="97" t="s">
        <v>359</v>
      </c>
      <c r="B35" s="111" t="s">
        <v>729</v>
      </c>
      <c r="C35" s="111"/>
      <c r="D35" s="111"/>
    </row>
    <row r="36" spans="1:4">
      <c r="A36" s="94" t="s">
        <v>360</v>
      </c>
      <c r="B36" s="107" t="s">
        <v>730</v>
      </c>
      <c r="C36" s="107"/>
      <c r="D36" s="107"/>
    </row>
    <row r="37" spans="1:4">
      <c r="A37" s="94" t="s">
        <v>361</v>
      </c>
      <c r="B37" s="107" t="s">
        <v>362</v>
      </c>
      <c r="C37" s="107"/>
      <c r="D37" s="107"/>
    </row>
    <row r="38" spans="1:4">
      <c r="A38" s="94" t="s">
        <v>363</v>
      </c>
      <c r="B38" s="107" t="s">
        <v>364</v>
      </c>
      <c r="C38" s="107"/>
      <c r="D38" s="107"/>
    </row>
    <row r="39" spans="1:4">
      <c r="A39" s="94" t="s">
        <v>365</v>
      </c>
      <c r="B39" s="107" t="s">
        <v>732</v>
      </c>
      <c r="C39" s="107"/>
      <c r="D39" s="107"/>
    </row>
    <row r="40" spans="1:4">
      <c r="A40" s="94" t="s">
        <v>366</v>
      </c>
      <c r="B40" s="107">
        <v>40</v>
      </c>
      <c r="C40" s="107"/>
      <c r="D40" s="107"/>
    </row>
    <row r="41" spans="1:4">
      <c r="A41" s="94" t="s">
        <v>367</v>
      </c>
      <c r="B41" s="107" t="s">
        <v>368</v>
      </c>
      <c r="C41" s="107"/>
      <c r="D41" s="107"/>
    </row>
    <row r="42" spans="1:4">
      <c r="A42" s="94" t="s">
        <v>369</v>
      </c>
      <c r="B42" s="107">
        <v>5500</v>
      </c>
      <c r="C42" s="107"/>
      <c r="D42" s="107"/>
    </row>
    <row r="43" spans="1:4">
      <c r="A43" s="94" t="s">
        <v>370</v>
      </c>
      <c r="B43" s="107">
        <v>50</v>
      </c>
      <c r="C43" s="107"/>
      <c r="D43" s="107"/>
    </row>
    <row r="44" spans="1:4">
      <c r="A44" s="95" t="s">
        <v>371</v>
      </c>
      <c r="B44" s="108">
        <v>50</v>
      </c>
      <c r="C44" s="108"/>
      <c r="D44" s="108"/>
    </row>
  </sheetData>
  <mergeCells count="29">
    <mergeCell ref="A2:D2"/>
    <mergeCell ref="B3:D3"/>
    <mergeCell ref="B4:D4"/>
    <mergeCell ref="B5:D5"/>
    <mergeCell ref="B13:D13"/>
    <mergeCell ref="B14:D14"/>
    <mergeCell ref="B15:D15"/>
    <mergeCell ref="B16:D16"/>
    <mergeCell ref="B17:D17"/>
    <mergeCell ref="B18:D18"/>
    <mergeCell ref="G18:I18"/>
    <mergeCell ref="B19:D19"/>
    <mergeCell ref="B20:D20"/>
    <mergeCell ref="B21:D21"/>
    <mergeCell ref="B22:D22"/>
    <mergeCell ref="A24:D24"/>
    <mergeCell ref="B25:D25"/>
    <mergeCell ref="B26:D26"/>
    <mergeCell ref="B27:D27"/>
    <mergeCell ref="B35:D35"/>
    <mergeCell ref="B41:D41"/>
    <mergeCell ref="B42:D42"/>
    <mergeCell ref="B43:D43"/>
    <mergeCell ref="B44:D44"/>
    <mergeCell ref="B36:D36"/>
    <mergeCell ref="B37:D37"/>
    <mergeCell ref="B38:D38"/>
    <mergeCell ref="B39:D39"/>
    <mergeCell ref="B40:D40"/>
  </mergeCells>
  <phoneticPr fontId="26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workbookViewId="0">
      <selection activeCell="F7" sqref="F7"/>
    </sheetView>
  </sheetViews>
  <sheetFormatPr defaultColWidth="8.875" defaultRowHeight="16.5"/>
  <cols>
    <col min="1" max="1" width="21" style="24" customWidth="1"/>
    <col min="2" max="2" width="12.5" style="24" customWidth="1"/>
    <col min="3" max="4" width="11.625" style="24" customWidth="1"/>
    <col min="5" max="6" width="8.875" style="24"/>
    <col min="7" max="7" width="10.5" style="24" customWidth="1"/>
    <col min="8" max="8" width="17.625" style="24" customWidth="1"/>
    <col min="9" max="16384" width="8.875" style="24"/>
  </cols>
  <sheetData>
    <row r="1" spans="1:8">
      <c r="A1" s="120" t="s">
        <v>733</v>
      </c>
      <c r="B1" s="98"/>
      <c r="C1" s="98"/>
      <c r="D1" s="98"/>
      <c r="E1" s="98"/>
      <c r="F1" s="98"/>
      <c r="G1" s="98"/>
      <c r="H1" s="98"/>
    </row>
    <row r="2" spans="1:8">
      <c r="A2" s="99"/>
      <c r="B2" s="100" t="s">
        <v>375</v>
      </c>
      <c r="C2" s="100" t="s">
        <v>376</v>
      </c>
      <c r="D2" s="100" t="s">
        <v>377</v>
      </c>
      <c r="E2" s="100" t="s">
        <v>378</v>
      </c>
      <c r="F2" s="100" t="s">
        <v>379</v>
      </c>
      <c r="G2" s="100" t="s">
        <v>380</v>
      </c>
      <c r="H2" s="100" t="s">
        <v>381</v>
      </c>
    </row>
    <row r="3" spans="1:8">
      <c r="A3" s="15" t="s">
        <v>382</v>
      </c>
      <c r="B3" s="7">
        <v>118.2</v>
      </c>
      <c r="C3" s="7">
        <v>101</v>
      </c>
      <c r="D3" s="101">
        <v>100</v>
      </c>
      <c r="E3" s="7">
        <v>50</v>
      </c>
      <c r="F3" s="7">
        <v>16</v>
      </c>
      <c r="G3" s="7">
        <v>10</v>
      </c>
      <c r="H3" s="102">
        <v>3.7</v>
      </c>
    </row>
    <row r="4" spans="1:8">
      <c r="A4" s="34" t="s">
        <v>66</v>
      </c>
      <c r="B4" s="10">
        <v>100.03</v>
      </c>
      <c r="C4" s="10">
        <v>56.1</v>
      </c>
      <c r="D4" s="79">
        <v>100</v>
      </c>
      <c r="E4" s="10">
        <v>86</v>
      </c>
      <c r="F4" s="10">
        <v>25</v>
      </c>
      <c r="G4" s="10">
        <v>10</v>
      </c>
      <c r="H4" s="103">
        <v>7.6</v>
      </c>
    </row>
    <row r="5" spans="1:8">
      <c r="A5" s="35" t="s">
        <v>383</v>
      </c>
      <c r="B5" s="12">
        <v>116.1</v>
      </c>
      <c r="C5" s="12">
        <v>70</v>
      </c>
      <c r="D5" s="37">
        <v>50</v>
      </c>
      <c r="E5" s="12">
        <v>75</v>
      </c>
      <c r="F5" s="12">
        <v>20</v>
      </c>
      <c r="G5" s="12">
        <v>12</v>
      </c>
      <c r="H5" s="36">
        <v>4.0999999999999996</v>
      </c>
    </row>
  </sheetData>
  <phoneticPr fontId="26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9"/>
  <sheetViews>
    <sheetView workbookViewId="0">
      <selection activeCell="B4" sqref="B4"/>
    </sheetView>
  </sheetViews>
  <sheetFormatPr defaultColWidth="8.625" defaultRowHeight="16.5"/>
  <cols>
    <col min="1" max="1" width="23.875" style="24" customWidth="1"/>
    <col min="2" max="2" width="23.875" style="28" customWidth="1"/>
    <col min="3" max="3" width="19.875" style="24" customWidth="1"/>
    <col min="4" max="5" width="23.875" style="24" customWidth="1"/>
    <col min="6" max="7" width="8.625" style="24" customWidth="1"/>
    <col min="8" max="8" width="9.375" style="24" customWidth="1"/>
    <col min="9" max="10" width="8.625" style="24" customWidth="1"/>
    <col min="11" max="11" width="17.875" style="24" customWidth="1"/>
    <col min="12" max="16384" width="8.625" style="24"/>
  </cols>
  <sheetData>
    <row r="1" spans="1:11">
      <c r="A1" s="119" t="s">
        <v>734</v>
      </c>
      <c r="E1" s="29"/>
    </row>
    <row r="2" spans="1:11" s="17" customFormat="1">
      <c r="A2" s="18" t="s">
        <v>384</v>
      </c>
      <c r="B2" s="30" t="s">
        <v>385</v>
      </c>
      <c r="C2" s="19" t="s">
        <v>386</v>
      </c>
      <c r="D2" s="19" t="s">
        <v>387</v>
      </c>
      <c r="E2" s="19" t="s">
        <v>388</v>
      </c>
      <c r="F2" s="18" t="s">
        <v>389</v>
      </c>
      <c r="G2" s="18" t="s">
        <v>390</v>
      </c>
      <c r="H2" s="18" t="s">
        <v>391</v>
      </c>
      <c r="I2" s="18" t="s">
        <v>392</v>
      </c>
      <c r="J2" s="18" t="s">
        <v>393</v>
      </c>
      <c r="K2" s="18" t="s">
        <v>394</v>
      </c>
    </row>
    <row r="3" spans="1:11">
      <c r="A3" s="20" t="s">
        <v>395</v>
      </c>
      <c r="B3" s="31" t="s">
        <v>396</v>
      </c>
      <c r="C3" s="20" t="s">
        <v>397</v>
      </c>
      <c r="D3" s="20" t="s">
        <v>398</v>
      </c>
      <c r="E3" s="20" t="s">
        <v>399</v>
      </c>
      <c r="F3" s="20">
        <v>449</v>
      </c>
      <c r="G3" s="21">
        <v>0.96</v>
      </c>
      <c r="H3" s="22">
        <v>1.0000000000000001E-152</v>
      </c>
      <c r="I3" s="20">
        <v>54.99</v>
      </c>
      <c r="J3" s="20">
        <v>420</v>
      </c>
      <c r="K3" s="20" t="str">
        <f>HYPERLINK("https://www.ncbi.nlm.nih.gov/protein/WP_042274519.1?report=genbank&amp;log$=prottop&amp;blast_rank=385&amp;RID=ATFAS5CP016","WP_042274519.1")</f>
        <v>WP_042274519.1</v>
      </c>
    </row>
    <row r="4" spans="1:11">
      <c r="A4" s="20" t="s">
        <v>400</v>
      </c>
      <c r="B4" s="31" t="s">
        <v>396</v>
      </c>
      <c r="C4" s="20" t="s">
        <v>401</v>
      </c>
      <c r="D4" s="20" t="s">
        <v>402</v>
      </c>
      <c r="E4" s="20" t="s">
        <v>399</v>
      </c>
      <c r="F4" s="20">
        <v>502</v>
      </c>
      <c r="G4" s="21">
        <v>0.95</v>
      </c>
      <c r="H4" s="22">
        <v>1E-173</v>
      </c>
      <c r="I4" s="20">
        <v>58.19</v>
      </c>
      <c r="J4" s="20">
        <v>413</v>
      </c>
      <c r="K4" s="20" t="str">
        <f>HYPERLINK("https://www.ncbi.nlm.nih.gov/protein/WP_004092743.1?report=genbank&amp;log$=prottop&amp;blast_rank=222&amp;RID=ATFAS5CP016","WP_004092743.1")</f>
        <v>WP_004092743.1</v>
      </c>
    </row>
    <row r="5" spans="1:11">
      <c r="A5" s="20" t="s">
        <v>403</v>
      </c>
      <c r="B5" s="31" t="s">
        <v>396</v>
      </c>
      <c r="C5" s="20" t="s">
        <v>404</v>
      </c>
      <c r="D5" s="20" t="s">
        <v>398</v>
      </c>
      <c r="E5" s="20" t="s">
        <v>399</v>
      </c>
      <c r="F5" s="20">
        <v>412</v>
      </c>
      <c r="G5" s="21">
        <v>0.8</v>
      </c>
      <c r="H5" s="22">
        <v>4.0000000000000001E-139</v>
      </c>
      <c r="I5" s="20">
        <v>57.73</v>
      </c>
      <c r="J5" s="20">
        <v>346</v>
      </c>
      <c r="K5" s="20" t="str">
        <f>HYPERLINK("https://www.ncbi.nlm.nih.gov/protein/MDD3396865.1?report=genbank&amp;log$=prottop&amp;blast_rank=423&amp;RID=ATFAS5CP016","MDD3396865.1")</f>
        <v>MDD3396865.1</v>
      </c>
    </row>
    <row r="6" spans="1:11">
      <c r="A6" s="20" t="s">
        <v>405</v>
      </c>
      <c r="B6" s="31" t="s">
        <v>396</v>
      </c>
      <c r="C6" s="20" t="s">
        <v>406</v>
      </c>
      <c r="D6" s="20" t="s">
        <v>407</v>
      </c>
      <c r="E6" s="20" t="s">
        <v>408</v>
      </c>
      <c r="F6" s="20">
        <v>486</v>
      </c>
      <c r="G6" s="21">
        <v>0.96</v>
      </c>
      <c r="H6" s="22">
        <v>2.9999999999999998E-167</v>
      </c>
      <c r="I6" s="20">
        <v>56.94</v>
      </c>
      <c r="J6" s="20">
        <v>418</v>
      </c>
      <c r="K6" s="20" t="str">
        <f>HYPERLINK("https://www.ncbi.nlm.nih.gov/protein/WP_128746836.1?report=genbank&amp;log$=prottop&amp;blast_rank=294&amp;RID=ATFAS5CP016","WP_128746836.1")</f>
        <v>WP_128746836.1</v>
      </c>
    </row>
    <row r="7" spans="1:11">
      <c r="A7" s="20" t="s">
        <v>409</v>
      </c>
      <c r="B7" s="31" t="s">
        <v>396</v>
      </c>
      <c r="C7" s="20" t="s">
        <v>397</v>
      </c>
      <c r="D7" s="20" t="s">
        <v>410</v>
      </c>
      <c r="E7" s="20" t="s">
        <v>411</v>
      </c>
      <c r="F7" s="20">
        <v>458</v>
      </c>
      <c r="G7" s="21">
        <v>0.96</v>
      </c>
      <c r="H7" s="22">
        <v>2.0000000000000001E-156</v>
      </c>
      <c r="I7" s="20">
        <v>55.23</v>
      </c>
      <c r="J7" s="20">
        <v>413</v>
      </c>
      <c r="K7" s="20" t="str">
        <f>HYPERLINK("https://www.ncbi.nlm.nih.gov/protein/WP_129595683.1?report=genbank&amp;log$=prottop&amp;blast_rank=359&amp;RID=ATFAS5CP016","WP_129595683.1")</f>
        <v>WP_129595683.1</v>
      </c>
    </row>
    <row r="8" spans="1:11">
      <c r="A8" s="20" t="s">
        <v>412</v>
      </c>
      <c r="B8" s="31" t="s">
        <v>396</v>
      </c>
      <c r="C8" s="20" t="s">
        <v>413</v>
      </c>
      <c r="D8" s="20" t="s">
        <v>414</v>
      </c>
      <c r="E8" s="20" t="s">
        <v>411</v>
      </c>
      <c r="F8" s="20">
        <v>497</v>
      </c>
      <c r="G8" s="21">
        <v>0.96</v>
      </c>
      <c r="H8" s="22">
        <v>9.9999999999999998E-172</v>
      </c>
      <c r="I8" s="20">
        <v>60.24</v>
      </c>
      <c r="J8" s="20">
        <v>413</v>
      </c>
      <c r="K8" s="20" t="str">
        <f>HYPERLINK("https://www.ncbi.nlm.nih.gov/protein/WP_078712103.1?report=genbank&amp;log$=prottop&amp;blast_rank=257&amp;RID=ATFAS5CP016","WP_078712103.1")</f>
        <v>WP_078712103.1</v>
      </c>
    </row>
    <row r="9" spans="1:11">
      <c r="A9" s="20" t="s">
        <v>415</v>
      </c>
      <c r="B9" s="31" t="s">
        <v>396</v>
      </c>
      <c r="C9" s="32" t="s">
        <v>416</v>
      </c>
      <c r="D9" s="20" t="s">
        <v>398</v>
      </c>
      <c r="E9" s="20" t="s">
        <v>399</v>
      </c>
      <c r="F9" s="20">
        <v>474</v>
      </c>
      <c r="G9" s="21">
        <v>0.96</v>
      </c>
      <c r="H9" s="22">
        <v>1.9999999999999999E-162</v>
      </c>
      <c r="I9" s="20">
        <v>57.42</v>
      </c>
      <c r="J9" s="20">
        <v>413</v>
      </c>
      <c r="K9" s="20" t="str">
        <f>HYPERLINK("https://www.ncbi.nlm.nih.gov/protein/WP_077367917.1?report=genbank&amp;log$=prottop&amp;blast_rank=306&amp;RID=ATFAS5CP016","WP_077367917.1")</f>
        <v>WP_077367917.1</v>
      </c>
    </row>
    <row r="10" spans="1:11">
      <c r="A10" s="20" t="s">
        <v>417</v>
      </c>
      <c r="B10" s="31" t="s">
        <v>396</v>
      </c>
      <c r="C10" s="20" t="s">
        <v>406</v>
      </c>
      <c r="D10" s="20" t="s">
        <v>418</v>
      </c>
      <c r="E10" s="20" t="s">
        <v>411</v>
      </c>
      <c r="F10" s="20">
        <v>454</v>
      </c>
      <c r="G10" s="21">
        <v>0.96</v>
      </c>
      <c r="H10" s="22">
        <v>9.9999999999999997E-155</v>
      </c>
      <c r="I10" s="20">
        <v>54.26</v>
      </c>
      <c r="J10" s="20">
        <v>418</v>
      </c>
      <c r="K10" s="20" t="str">
        <f>HYPERLINK("https://www.ncbi.nlm.nih.gov/protein/WP_027398825.1?report=genbank&amp;log$=prottop&amp;blast_rank=371&amp;RID=ATFAS5CP016","WP_027398825.1")</f>
        <v>WP_027398825.1</v>
      </c>
    </row>
    <row r="11" spans="1:11">
      <c r="A11" s="20" t="s">
        <v>419</v>
      </c>
      <c r="B11" s="31" t="s">
        <v>420</v>
      </c>
      <c r="C11" s="20" t="s">
        <v>421</v>
      </c>
      <c r="D11" s="20" t="s">
        <v>422</v>
      </c>
      <c r="E11" s="20" t="s">
        <v>399</v>
      </c>
      <c r="F11" s="20">
        <v>576</v>
      </c>
      <c r="G11" s="21">
        <v>0.97</v>
      </c>
      <c r="H11" s="20">
        <v>0</v>
      </c>
      <c r="I11" s="20">
        <v>66.11</v>
      </c>
      <c r="J11" s="20">
        <v>415</v>
      </c>
      <c r="K11" s="20" t="str">
        <f>HYPERLINK("https://www.ncbi.nlm.nih.gov/protein/WP_081933327.1?report=genbank&amp;log$=prottop&amp;blast_rank=160&amp;RID=ATFAS5CP016","WP_081933327.1")</f>
        <v>WP_081933327.1</v>
      </c>
    </row>
    <row r="12" spans="1:11">
      <c r="A12" s="20" t="s">
        <v>423</v>
      </c>
      <c r="B12" s="31" t="s">
        <v>420</v>
      </c>
      <c r="C12" s="20" t="s">
        <v>421</v>
      </c>
      <c r="D12" s="20" t="s">
        <v>424</v>
      </c>
      <c r="E12" s="20" t="s">
        <v>425</v>
      </c>
      <c r="F12" s="20">
        <v>574</v>
      </c>
      <c r="G12" s="21">
        <v>0.97</v>
      </c>
      <c r="H12" s="20">
        <v>0</v>
      </c>
      <c r="I12" s="20">
        <v>67.47</v>
      </c>
      <c r="J12" s="20">
        <v>420</v>
      </c>
      <c r="K12" s="20" t="str">
        <f>HYPERLINK("https://www.ncbi.nlm.nih.gov/protein/KXB32960.1?report=genbank&amp;log$=prottop&amp;blast_rank=163&amp;RID=ATFAS5CP016","KXB32960.1")</f>
        <v>KXB32960.1</v>
      </c>
    </row>
    <row r="13" spans="1:11">
      <c r="A13" s="20" t="s">
        <v>426</v>
      </c>
      <c r="B13" s="31" t="s">
        <v>420</v>
      </c>
      <c r="C13" s="20" t="s">
        <v>421</v>
      </c>
      <c r="D13" s="20" t="s">
        <v>427</v>
      </c>
      <c r="E13" s="20" t="s">
        <v>425</v>
      </c>
      <c r="F13" s="20">
        <v>639</v>
      </c>
      <c r="G13" s="21">
        <v>0.96</v>
      </c>
      <c r="H13" s="20">
        <v>0</v>
      </c>
      <c r="I13" s="20">
        <v>75.37</v>
      </c>
      <c r="J13" s="20">
        <v>415</v>
      </c>
      <c r="K13" s="20" t="str">
        <f>HYPERLINK("https://www.ncbi.nlm.nih.gov/protein/WP_028263724.1?report=genbank&amp;log$=prottop&amp;blast_rank=113&amp;RID=ATFAS5CP016","WP_028263724.1")</f>
        <v>WP_028263724.1</v>
      </c>
    </row>
    <row r="14" spans="1:11">
      <c r="A14" s="20" t="s">
        <v>428</v>
      </c>
      <c r="B14" s="31" t="s">
        <v>420</v>
      </c>
      <c r="C14" s="20" t="s">
        <v>421</v>
      </c>
      <c r="D14" s="20" t="s">
        <v>429</v>
      </c>
      <c r="E14" s="20" t="s">
        <v>425</v>
      </c>
      <c r="F14" s="20">
        <v>579</v>
      </c>
      <c r="G14" s="21">
        <v>0.95</v>
      </c>
      <c r="H14" s="20">
        <v>0</v>
      </c>
      <c r="I14" s="20">
        <v>69.040000000000006</v>
      </c>
      <c r="J14" s="20">
        <v>406</v>
      </c>
      <c r="K14" s="20" t="str">
        <f>HYPERLINK("https://www.ncbi.nlm.nih.gov/protein/KRN55347.1?report=genbank&amp;log$=prottop&amp;blast_rank=158&amp;RID=ATFAS5CP016","KRN55347.1")</f>
        <v>KRN55347.1</v>
      </c>
    </row>
    <row r="15" spans="1:11">
      <c r="A15" s="20" t="s">
        <v>430</v>
      </c>
      <c r="B15" s="31" t="s">
        <v>420</v>
      </c>
      <c r="C15" s="20" t="s">
        <v>421</v>
      </c>
      <c r="D15" s="20" t="s">
        <v>431</v>
      </c>
      <c r="E15" s="20" t="s">
        <v>399</v>
      </c>
      <c r="F15" s="20">
        <v>611</v>
      </c>
      <c r="G15" s="21">
        <v>0.97</v>
      </c>
      <c r="H15" s="20">
        <v>0</v>
      </c>
      <c r="I15" s="20">
        <v>71.63</v>
      </c>
      <c r="J15" s="20">
        <v>415</v>
      </c>
      <c r="K15" s="20" t="str">
        <f>HYPERLINK("https://www.ncbi.nlm.nih.gov/protein/MBF0903076.1?report=genbank&amp;log$=prottop&amp;blast_rank=122&amp;RID=ATFAS5CP016","MBF0903076.1")</f>
        <v>MBF0903076.1</v>
      </c>
    </row>
    <row r="16" spans="1:11">
      <c r="A16" s="20" t="s">
        <v>432</v>
      </c>
      <c r="B16" s="31" t="s">
        <v>420</v>
      </c>
      <c r="C16" s="20" t="s">
        <v>421</v>
      </c>
      <c r="D16" s="20" t="s">
        <v>433</v>
      </c>
      <c r="E16" s="20" t="s">
        <v>399</v>
      </c>
      <c r="F16" s="20">
        <v>605</v>
      </c>
      <c r="G16" s="21">
        <v>0.97</v>
      </c>
      <c r="H16" s="20">
        <v>0</v>
      </c>
      <c r="I16" s="20">
        <v>71.39</v>
      </c>
      <c r="J16" s="20">
        <v>415</v>
      </c>
      <c r="K16" s="20" t="str">
        <f>HYPERLINK("https://www.ncbi.nlm.nih.gov/protein/WP_035435661.1?report=genbank&amp;log$=prottop&amp;blast_rank=128&amp;RID=ATFAS5CP016","WP_035435661.1")</f>
        <v>WP_035435661.1</v>
      </c>
    </row>
    <row r="17" spans="1:11">
      <c r="A17" s="20" t="s">
        <v>434</v>
      </c>
      <c r="B17" s="31" t="s">
        <v>420</v>
      </c>
      <c r="C17" s="20" t="s">
        <v>421</v>
      </c>
      <c r="D17" s="20" t="s">
        <v>435</v>
      </c>
      <c r="E17" s="20" t="s">
        <v>399</v>
      </c>
      <c r="F17" s="20">
        <v>605</v>
      </c>
      <c r="G17" s="21">
        <v>0.97</v>
      </c>
      <c r="H17" s="20">
        <v>0</v>
      </c>
      <c r="I17" s="20">
        <v>71.150000000000006</v>
      </c>
      <c r="J17" s="20">
        <v>415</v>
      </c>
      <c r="K17" s="20" t="str">
        <f>HYPERLINK("https://www.ncbi.nlm.nih.gov/protein/WP_035428407.1?report=genbank&amp;log$=prottop&amp;blast_rank=130&amp;RID=ATFAS5CP016","WP_035428407.1")</f>
        <v>WP_035428407.1</v>
      </c>
    </row>
    <row r="18" spans="1:11">
      <c r="A18" s="20" t="s">
        <v>436</v>
      </c>
      <c r="B18" s="31" t="s">
        <v>420</v>
      </c>
      <c r="C18" s="20" t="s">
        <v>421</v>
      </c>
      <c r="D18" s="20" t="s">
        <v>437</v>
      </c>
      <c r="E18" s="20" t="s">
        <v>399</v>
      </c>
      <c r="F18" s="20">
        <v>612</v>
      </c>
      <c r="G18" s="21">
        <v>0.97</v>
      </c>
      <c r="H18" s="20">
        <v>0</v>
      </c>
      <c r="I18" s="20">
        <v>71.33</v>
      </c>
      <c r="J18" s="20">
        <v>415</v>
      </c>
      <c r="K18" s="20" t="str">
        <f>HYPERLINK("https://www.ncbi.nlm.nih.gov/protein/WP_016478099.1?report=genbank&amp;log$=prottop&amp;blast_rank=119&amp;RID=ATFAS5CP016","WP_016478099.1")</f>
        <v>WP_016478099.1</v>
      </c>
    </row>
    <row r="19" spans="1:11">
      <c r="A19" s="20" t="s">
        <v>438</v>
      </c>
      <c r="B19" s="31" t="s">
        <v>439</v>
      </c>
      <c r="C19" s="20" t="s">
        <v>440</v>
      </c>
      <c r="D19" s="20" t="s">
        <v>398</v>
      </c>
      <c r="E19" s="20" t="s">
        <v>399</v>
      </c>
      <c r="F19" s="20">
        <v>463</v>
      </c>
      <c r="G19" s="21">
        <v>0.94</v>
      </c>
      <c r="H19" s="22">
        <v>2.0000000000000001E-158</v>
      </c>
      <c r="I19" s="20">
        <v>57.32</v>
      </c>
      <c r="J19" s="20">
        <v>404</v>
      </c>
      <c r="K19" s="20" t="str">
        <f>HYPERLINK("https://www.ncbi.nlm.nih.gov/protein/MBV1821068.1?report=genbank&amp;log$=prottop&amp;blast_rank=346&amp;RID=ATFAS5CP016","MBV1821068.1")</f>
        <v>MBV1821068.1</v>
      </c>
    </row>
    <row r="20" spans="1:11">
      <c r="A20" s="20" t="s">
        <v>441</v>
      </c>
      <c r="B20" s="31" t="s">
        <v>420</v>
      </c>
      <c r="C20" s="20" t="s">
        <v>442</v>
      </c>
      <c r="D20" s="20" t="s">
        <v>398</v>
      </c>
      <c r="E20" s="20" t="s">
        <v>399</v>
      </c>
      <c r="F20" s="20">
        <v>443</v>
      </c>
      <c r="G20" s="21">
        <v>0.95</v>
      </c>
      <c r="H20" s="22">
        <v>2E-150</v>
      </c>
      <c r="I20" s="20">
        <v>56.45</v>
      </c>
      <c r="J20" s="20">
        <v>415</v>
      </c>
      <c r="K20" s="20" t="str">
        <f>HYPERLINK("https://www.ncbi.nlm.nih.gov/protein/WP_049183860.1?report=genbank&amp;log$=prottop&amp;blast_rank=400&amp;RID=ATFAS5CP016","WP_049183860.1")</f>
        <v>WP_049183860.1</v>
      </c>
    </row>
    <row r="21" spans="1:11">
      <c r="A21" s="20" t="s">
        <v>443</v>
      </c>
      <c r="B21" s="31" t="s">
        <v>420</v>
      </c>
      <c r="C21" s="20" t="s">
        <v>442</v>
      </c>
      <c r="D21" s="20" t="s">
        <v>444</v>
      </c>
      <c r="E21" s="20" t="s">
        <v>399</v>
      </c>
      <c r="F21" s="20">
        <v>431</v>
      </c>
      <c r="G21" s="21">
        <v>0.95</v>
      </c>
      <c r="H21" s="22">
        <v>1.9999999999999998E-145</v>
      </c>
      <c r="I21" s="20">
        <v>54.63</v>
      </c>
      <c r="J21" s="20">
        <v>415</v>
      </c>
      <c r="K21" s="20" t="str">
        <f>HYPERLINK("https://www.ncbi.nlm.nih.gov/protein/WP_150353900.1?report=genbank&amp;log$=prottop&amp;blast_rank=414&amp;RID=ATFAS5CP016","WP_150353900.1")</f>
        <v>WP_150353900.1</v>
      </c>
    </row>
    <row r="22" spans="1:11">
      <c r="A22" s="20" t="s">
        <v>445</v>
      </c>
      <c r="B22" s="31" t="s">
        <v>396</v>
      </c>
      <c r="C22" s="20" t="s">
        <v>446</v>
      </c>
      <c r="D22" s="20" t="s">
        <v>447</v>
      </c>
      <c r="E22" s="20" t="s">
        <v>399</v>
      </c>
      <c r="F22" s="20">
        <v>504</v>
      </c>
      <c r="G22" s="21">
        <v>0.95</v>
      </c>
      <c r="H22" s="22">
        <v>4E-174</v>
      </c>
      <c r="I22" s="20">
        <v>60.24</v>
      </c>
      <c r="J22" s="20">
        <v>417</v>
      </c>
      <c r="K22" s="20" t="str">
        <f>HYPERLINK("https://www.ncbi.nlm.nih.gov/protein/WP_257414620.1?report=genbank&amp;log$=prottop&amp;blast_rank=215&amp;RID=ATFAS5CP016","WP_257414620.1")</f>
        <v>WP_257414620.1</v>
      </c>
    </row>
    <row r="23" spans="1:11">
      <c r="A23" s="20" t="s">
        <v>448</v>
      </c>
      <c r="B23" s="31" t="s">
        <v>396</v>
      </c>
      <c r="C23" s="20" t="s">
        <v>446</v>
      </c>
      <c r="D23" s="20" t="s">
        <v>398</v>
      </c>
      <c r="E23" s="20" t="s">
        <v>399</v>
      </c>
      <c r="F23" s="20">
        <v>503</v>
      </c>
      <c r="G23" s="21">
        <v>0.95</v>
      </c>
      <c r="H23" s="22">
        <v>5.0000000000000002E-174</v>
      </c>
      <c r="I23" s="20">
        <v>59.17</v>
      </c>
      <c r="J23" s="20">
        <v>416</v>
      </c>
      <c r="K23" s="20" t="str">
        <f>HYPERLINK("https://www.ncbi.nlm.nih.gov/protein/WP_104802820.1?report=genbank&amp;log$=prottop&amp;blast_rank=219&amp;RID=ATFAS5CP016","WP_104802820.1")</f>
        <v>WP_104802820.1</v>
      </c>
    </row>
    <row r="24" spans="1:11">
      <c r="A24" s="20" t="s">
        <v>449</v>
      </c>
      <c r="B24" s="31" t="s">
        <v>396</v>
      </c>
      <c r="C24" s="20" t="s">
        <v>446</v>
      </c>
      <c r="D24" s="20" t="s">
        <v>398</v>
      </c>
      <c r="E24" s="20" t="s">
        <v>399</v>
      </c>
      <c r="F24" s="20">
        <v>503</v>
      </c>
      <c r="G24" s="21">
        <v>0.95</v>
      </c>
      <c r="H24" s="22">
        <v>5.0000000000000002E-174</v>
      </c>
      <c r="I24" s="20">
        <v>59.07</v>
      </c>
      <c r="J24" s="20">
        <v>415</v>
      </c>
      <c r="K24" s="20" t="str">
        <f>HYPERLINK("https://www.ncbi.nlm.nih.gov/protein/WP_033142171.1?report=genbank&amp;log$=prottop&amp;blast_rank=218&amp;RID=ATFAS5CP016","WP_033142171.1")</f>
        <v>WP_033142171.1</v>
      </c>
    </row>
    <row r="25" spans="1:11">
      <c r="A25" s="20" t="s">
        <v>450</v>
      </c>
      <c r="B25" s="31" t="s">
        <v>396</v>
      </c>
      <c r="C25" s="20" t="s">
        <v>446</v>
      </c>
      <c r="D25" s="20" t="s">
        <v>451</v>
      </c>
      <c r="E25" s="20" t="s">
        <v>399</v>
      </c>
      <c r="F25" s="20">
        <v>488</v>
      </c>
      <c r="G25" s="21">
        <v>0.95</v>
      </c>
      <c r="H25" s="22">
        <v>6.9999999999999996E-168</v>
      </c>
      <c r="I25" s="20">
        <v>57.7</v>
      </c>
      <c r="J25" s="20">
        <v>413</v>
      </c>
      <c r="K25" s="20" t="str">
        <f>HYPERLINK("https://www.ncbi.nlm.nih.gov/protein/MDC7291030.1?report=genbank&amp;log$=prottop&amp;blast_rank=285&amp;RID=ATFAS5CP016","MDC7291030.1")</f>
        <v>MDC7291030.1</v>
      </c>
    </row>
    <row r="26" spans="1:11">
      <c r="A26" s="20" t="s">
        <v>452</v>
      </c>
      <c r="B26" s="31" t="s">
        <v>396</v>
      </c>
      <c r="C26" s="20" t="s">
        <v>446</v>
      </c>
      <c r="D26" s="20" t="s">
        <v>453</v>
      </c>
      <c r="E26" s="20" t="s">
        <v>399</v>
      </c>
      <c r="F26" s="20">
        <v>500</v>
      </c>
      <c r="G26" s="21">
        <v>0.95</v>
      </c>
      <c r="H26" s="22">
        <v>1E-172</v>
      </c>
      <c r="I26" s="20">
        <v>60</v>
      </c>
      <c r="J26" s="20">
        <v>417</v>
      </c>
      <c r="K26" s="20" t="str">
        <f>HYPERLINK("https://www.ncbi.nlm.nih.gov/protein/WP_287713503.1?report=genbank&amp;log$=prottop&amp;blast_rank=239&amp;RID=ATFAS5CP016","WP_287713503.1")</f>
        <v>WP_287713503.1</v>
      </c>
    </row>
    <row r="27" spans="1:11">
      <c r="A27" s="20" t="s">
        <v>454</v>
      </c>
      <c r="B27" s="31" t="s">
        <v>396</v>
      </c>
      <c r="C27" s="20" t="s">
        <v>446</v>
      </c>
      <c r="D27" s="20" t="s">
        <v>398</v>
      </c>
      <c r="E27" s="20" t="s">
        <v>399</v>
      </c>
      <c r="F27" s="20">
        <v>504</v>
      </c>
      <c r="G27" s="21">
        <v>0.95</v>
      </c>
      <c r="H27" s="22">
        <v>2E-174</v>
      </c>
      <c r="I27" s="20">
        <v>59.31</v>
      </c>
      <c r="J27" s="20">
        <v>415</v>
      </c>
      <c r="K27" s="20" t="str">
        <f>HYPERLINK("https://www.ncbi.nlm.nih.gov/protein/WP_244805996.1?report=genbank&amp;log$=prottop&amp;blast_rank=212&amp;RID=ATFAS5CP016","WP_244805996.1")</f>
        <v>WP_244805996.1</v>
      </c>
    </row>
    <row r="28" spans="1:11">
      <c r="A28" s="20" t="s">
        <v>455</v>
      </c>
      <c r="B28" s="31" t="s">
        <v>420</v>
      </c>
      <c r="C28" s="20" t="s">
        <v>456</v>
      </c>
      <c r="D28" s="20" t="s">
        <v>453</v>
      </c>
      <c r="E28" s="20" t="s">
        <v>399</v>
      </c>
      <c r="F28" s="20">
        <v>470</v>
      </c>
      <c r="G28" s="21">
        <v>0.96</v>
      </c>
      <c r="H28" s="22">
        <v>7.0000000000000004E-161</v>
      </c>
      <c r="I28" s="20">
        <v>55.8</v>
      </c>
      <c r="J28" s="20">
        <v>413</v>
      </c>
      <c r="K28" s="20" t="str">
        <f>HYPERLINK("https://www.ncbi.nlm.nih.gov/protein/WP_245792782.1?report=genbank&amp;log$=prottop&amp;blast_rank=319&amp;RID=ATFAS5CP016","WP_245792782.1")</f>
        <v>WP_245792782.1</v>
      </c>
    </row>
    <row r="29" spans="1:11">
      <c r="A29" s="20" t="s">
        <v>457</v>
      </c>
      <c r="B29" s="31" t="s">
        <v>396</v>
      </c>
      <c r="C29" s="20" t="s">
        <v>458</v>
      </c>
      <c r="D29" s="20" t="s">
        <v>398</v>
      </c>
      <c r="E29" s="20" t="s">
        <v>399</v>
      </c>
      <c r="F29" s="20">
        <v>513</v>
      </c>
      <c r="G29" s="21">
        <v>0.96</v>
      </c>
      <c r="H29" s="22">
        <v>7.9999999999999996E-178</v>
      </c>
      <c r="I29" s="20">
        <v>60.53</v>
      </c>
      <c r="J29" s="20">
        <v>414</v>
      </c>
      <c r="K29" s="20" t="str">
        <f>HYPERLINK("https://www.ncbi.nlm.nih.gov/protein/WP_147594570.1?report=genbank&amp;log$=prottop&amp;blast_rank=199&amp;RID=ATFAS5CP016","WP_147594570.1")</f>
        <v>WP_147594570.1</v>
      </c>
    </row>
    <row r="30" spans="1:11">
      <c r="A30" s="20" t="s">
        <v>459</v>
      </c>
      <c r="B30" s="31" t="s">
        <v>396</v>
      </c>
      <c r="C30" s="20" t="s">
        <v>460</v>
      </c>
      <c r="D30" s="20" t="s">
        <v>461</v>
      </c>
      <c r="E30" s="20" t="s">
        <v>399</v>
      </c>
      <c r="F30" s="20">
        <v>504</v>
      </c>
      <c r="G30" s="21">
        <v>0.96</v>
      </c>
      <c r="H30" s="22">
        <v>3.0000000000000002E-174</v>
      </c>
      <c r="I30" s="20">
        <v>58.98</v>
      </c>
      <c r="J30" s="20">
        <v>411</v>
      </c>
      <c r="K30" s="20" t="str">
        <f>HYPERLINK("https://www.ncbi.nlm.nih.gov/protein/HIU63668.1?report=genbank&amp;log$=prottop&amp;blast_rank=214&amp;RID=ATFAS5CP016","HIU63668.1")</f>
        <v>HIU63668.1</v>
      </c>
    </row>
    <row r="31" spans="1:11">
      <c r="A31" s="20" t="s">
        <v>462</v>
      </c>
      <c r="B31" s="31" t="s">
        <v>420</v>
      </c>
      <c r="C31" s="20" t="s">
        <v>463</v>
      </c>
      <c r="D31" s="20" t="s">
        <v>461</v>
      </c>
      <c r="E31" s="20" t="s">
        <v>399</v>
      </c>
      <c r="F31" s="20">
        <v>751</v>
      </c>
      <c r="G31" s="21">
        <v>0.99</v>
      </c>
      <c r="H31" s="20">
        <v>0</v>
      </c>
      <c r="I31" s="20">
        <v>85.38</v>
      </c>
      <c r="J31" s="20">
        <v>424</v>
      </c>
      <c r="K31" s="20" t="str">
        <f>HYPERLINK("https://www.ncbi.nlm.nih.gov/protein/WP_270847763.1?report=genbank&amp;log$=prottop&amp;blast_rank=111&amp;RID=ATFAS5CP016","WP_270847763.1")</f>
        <v>WP_270847763.1</v>
      </c>
    </row>
    <row r="32" spans="1:11">
      <c r="A32" s="20" t="s">
        <v>464</v>
      </c>
      <c r="B32" s="31" t="s">
        <v>396</v>
      </c>
      <c r="C32" s="20" t="s">
        <v>465</v>
      </c>
      <c r="D32" s="20" t="s">
        <v>461</v>
      </c>
      <c r="E32" s="20" t="s">
        <v>399</v>
      </c>
      <c r="F32" s="20">
        <v>498</v>
      </c>
      <c r="G32" s="21">
        <v>0.95</v>
      </c>
      <c r="H32" s="22">
        <v>9.9999999999999998E-172</v>
      </c>
      <c r="I32" s="20">
        <v>59.04</v>
      </c>
      <c r="J32" s="20">
        <v>423</v>
      </c>
      <c r="K32" s="20" t="str">
        <f>HYPERLINK("https://www.ncbi.nlm.nih.gov/protein/HIU96688.1?report=genbank&amp;log$=prottop&amp;blast_rank=254&amp;RID=ATFAS5CP016","HIU96688.1")</f>
        <v>HIU96688.1</v>
      </c>
    </row>
    <row r="33" spans="1:11">
      <c r="A33" s="20" t="s">
        <v>466</v>
      </c>
      <c r="B33" s="31" t="s">
        <v>396</v>
      </c>
      <c r="C33" s="20" t="s">
        <v>467</v>
      </c>
      <c r="D33" s="20" t="s">
        <v>461</v>
      </c>
      <c r="E33" s="20" t="s">
        <v>399</v>
      </c>
      <c r="F33" s="20">
        <v>501</v>
      </c>
      <c r="G33" s="21">
        <v>0.96</v>
      </c>
      <c r="H33" s="22">
        <v>2.0000000000000001E-173</v>
      </c>
      <c r="I33" s="20">
        <v>60.58</v>
      </c>
      <c r="J33" s="20">
        <v>413</v>
      </c>
      <c r="K33" s="20" t="str">
        <f>HYPERLINK("https://www.ncbi.nlm.nih.gov/protein/HIX06458.1?report=genbank&amp;log$=prottop&amp;blast_rank=226&amp;RID=ATFAS5CP016","HIX06458.1")</f>
        <v>HIX06458.1</v>
      </c>
    </row>
    <row r="34" spans="1:11">
      <c r="A34" s="20" t="s">
        <v>468</v>
      </c>
      <c r="B34" s="31" t="s">
        <v>396</v>
      </c>
      <c r="C34" s="20" t="s">
        <v>469</v>
      </c>
      <c r="D34" s="20" t="s">
        <v>461</v>
      </c>
      <c r="E34" s="20" t="s">
        <v>399</v>
      </c>
      <c r="F34" s="20">
        <v>497</v>
      </c>
      <c r="G34" s="21">
        <v>0.96</v>
      </c>
      <c r="H34" s="22">
        <v>9.9999999999999998E-172</v>
      </c>
      <c r="I34" s="20">
        <v>60.34</v>
      </c>
      <c r="J34" s="20">
        <v>413</v>
      </c>
      <c r="K34" s="20" t="str">
        <f>HYPERLINK("https://www.ncbi.nlm.nih.gov/protein/HIZ43024.1?report=genbank&amp;log$=prottop&amp;blast_rank=253&amp;RID=ATFAS5CP016","HIZ43024.1")</f>
        <v>HIZ43024.1</v>
      </c>
    </row>
    <row r="35" spans="1:11">
      <c r="A35" s="20" t="s">
        <v>470</v>
      </c>
      <c r="B35" s="31" t="s">
        <v>396</v>
      </c>
      <c r="C35" s="20" t="s">
        <v>467</v>
      </c>
      <c r="D35" s="20" t="s">
        <v>471</v>
      </c>
      <c r="E35" s="20" t="s">
        <v>408</v>
      </c>
      <c r="F35" s="20">
        <v>498</v>
      </c>
      <c r="G35" s="21">
        <v>0.96</v>
      </c>
      <c r="H35" s="22">
        <v>8.0000000000000003E-172</v>
      </c>
      <c r="I35" s="20">
        <v>58.7</v>
      </c>
      <c r="J35" s="20">
        <v>414</v>
      </c>
      <c r="K35" s="20" t="str">
        <f>HYPERLINK("https://www.ncbi.nlm.nih.gov/protein/WP_268057614.1?report=genbank&amp;log$=prottop&amp;blast_rank=251&amp;RID=ATFAS5CP016","WP_268057614.1")</f>
        <v>WP_268057614.1</v>
      </c>
    </row>
    <row r="36" spans="1:11">
      <c r="A36" s="20" t="s">
        <v>472</v>
      </c>
      <c r="B36" s="31" t="s">
        <v>396</v>
      </c>
      <c r="C36" s="20" t="s">
        <v>397</v>
      </c>
      <c r="D36" s="20" t="s">
        <v>473</v>
      </c>
      <c r="E36" s="20" t="s">
        <v>411</v>
      </c>
      <c r="F36" s="20">
        <v>451</v>
      </c>
      <c r="G36" s="21">
        <v>0.96</v>
      </c>
      <c r="H36" s="22">
        <v>2.0000000000000001E-153</v>
      </c>
      <c r="I36" s="20">
        <v>54.01</v>
      </c>
      <c r="J36" s="20">
        <v>412</v>
      </c>
      <c r="K36" s="20" t="str">
        <f>HYPERLINK("https://www.ncbi.nlm.nih.gov/protein/AWZ48544.1?report=genbank&amp;log$=prottop&amp;blast_rank=382&amp;RID=ATFAS5CP016","AWZ48544.1")</f>
        <v>AWZ48544.1</v>
      </c>
    </row>
    <row r="37" spans="1:11">
      <c r="A37" s="20" t="s">
        <v>474</v>
      </c>
      <c r="B37" s="31" t="s">
        <v>396</v>
      </c>
      <c r="C37" s="20" t="s">
        <v>397</v>
      </c>
      <c r="D37" s="20" t="s">
        <v>475</v>
      </c>
      <c r="E37" s="20" t="s">
        <v>408</v>
      </c>
      <c r="F37" s="20">
        <v>458</v>
      </c>
      <c r="G37" s="21">
        <v>0.96</v>
      </c>
      <c r="H37" s="22">
        <v>3.0000000000000002E-156</v>
      </c>
      <c r="I37" s="20">
        <v>54.74</v>
      </c>
      <c r="J37" s="20">
        <v>413</v>
      </c>
      <c r="K37" s="20" t="str">
        <f>HYPERLINK("https://www.ncbi.nlm.nih.gov/protein/WP_026895359.1?report=genbank&amp;log$=prottop&amp;blast_rank=361&amp;RID=ATFAS5CP016","WP_026895359.1")</f>
        <v>WP_026895359.1</v>
      </c>
    </row>
    <row r="38" spans="1:11">
      <c r="A38" s="20" t="s">
        <v>476</v>
      </c>
      <c r="B38" s="31" t="s">
        <v>396</v>
      </c>
      <c r="C38" s="20" t="s">
        <v>397</v>
      </c>
      <c r="D38" s="20" t="s">
        <v>398</v>
      </c>
      <c r="E38" s="20" t="s">
        <v>399</v>
      </c>
      <c r="F38" s="20">
        <v>429</v>
      </c>
      <c r="G38" s="21">
        <v>0.96</v>
      </c>
      <c r="H38" s="22">
        <v>5.9999999999999998E-145</v>
      </c>
      <c r="I38" s="20">
        <v>54.74</v>
      </c>
      <c r="J38" s="20">
        <v>411</v>
      </c>
      <c r="K38" s="20" t="str">
        <f>HYPERLINK("https://www.ncbi.nlm.nih.gov/protein/WP_032122148.1?report=genbank&amp;log$=prottop&amp;blast_rank=415&amp;RID=ATFAS5CP016","WP_032122148.1")</f>
        <v>WP_032122148.1</v>
      </c>
    </row>
    <row r="39" spans="1:11">
      <c r="A39" s="20" t="s">
        <v>477</v>
      </c>
      <c r="B39" s="31" t="s">
        <v>396</v>
      </c>
      <c r="C39" s="20" t="s">
        <v>397</v>
      </c>
      <c r="D39" s="20" t="s">
        <v>478</v>
      </c>
      <c r="E39" s="20" t="s">
        <v>411</v>
      </c>
      <c r="F39" s="20">
        <v>503</v>
      </c>
      <c r="G39" s="21">
        <v>0.96</v>
      </c>
      <c r="H39" s="22">
        <v>6.9999999999999997E-174</v>
      </c>
      <c r="I39" s="20">
        <v>58.25</v>
      </c>
      <c r="J39" s="20">
        <v>417</v>
      </c>
      <c r="K39" s="20" t="str">
        <f>HYPERLINK("https://www.ncbi.nlm.nih.gov/protein/WP_206582835.1?report=genbank&amp;log$=prottop&amp;blast_rank=220&amp;RID=ATFAS5CP016","WP_206582835.1")</f>
        <v>WP_206582835.1</v>
      </c>
    </row>
    <row r="40" spans="1:11">
      <c r="A40" s="20" t="s">
        <v>479</v>
      </c>
      <c r="B40" s="31" t="s">
        <v>396</v>
      </c>
      <c r="C40" s="20" t="s">
        <v>397</v>
      </c>
      <c r="D40" s="20" t="s">
        <v>480</v>
      </c>
      <c r="E40" s="20" t="s">
        <v>408</v>
      </c>
      <c r="F40" s="20">
        <v>495</v>
      </c>
      <c r="G40" s="21">
        <v>0.96</v>
      </c>
      <c r="H40" s="22">
        <v>9.0000000000000008E-171</v>
      </c>
      <c r="I40" s="20">
        <v>58.39</v>
      </c>
      <c r="J40" s="20">
        <v>420</v>
      </c>
      <c r="K40" s="20" t="str">
        <f>HYPERLINK("https://www.ncbi.nlm.nih.gov/protein/WP_072985634.1?report=genbank&amp;log$=prottop&amp;blast_rank=264&amp;RID=ATFAS5CP016","WP_072985634.1")</f>
        <v>WP_072985634.1</v>
      </c>
    </row>
    <row r="41" spans="1:11">
      <c r="A41" s="20" t="s">
        <v>481</v>
      </c>
      <c r="B41" s="31" t="s">
        <v>396</v>
      </c>
      <c r="C41" s="20" t="s">
        <v>397</v>
      </c>
      <c r="D41" s="20" t="s">
        <v>482</v>
      </c>
      <c r="E41" s="20" t="s">
        <v>483</v>
      </c>
      <c r="F41" s="20">
        <v>484</v>
      </c>
      <c r="G41" s="21">
        <v>0.96</v>
      </c>
      <c r="H41" s="22">
        <v>1E-166</v>
      </c>
      <c r="I41" s="20">
        <v>55.47</v>
      </c>
      <c r="J41" s="20">
        <v>420</v>
      </c>
      <c r="K41" s="20" t="str">
        <f>HYPERLINK("https://www.ncbi.nlm.nih.gov/protein/WP_021876833.1?report=genbank&amp;log$=prottop&amp;blast_rank=297&amp;RID=ATFAS5CP016","WP_021876833.1")</f>
        <v>WP_021876833.1</v>
      </c>
    </row>
    <row r="42" spans="1:11">
      <c r="A42" s="20" t="s">
        <v>484</v>
      </c>
      <c r="B42" s="31" t="s">
        <v>396</v>
      </c>
      <c r="C42" s="20" t="s">
        <v>397</v>
      </c>
      <c r="D42" s="20" t="s">
        <v>447</v>
      </c>
      <c r="E42" s="20" t="s">
        <v>399</v>
      </c>
      <c r="F42" s="20">
        <v>471</v>
      </c>
      <c r="G42" s="21">
        <v>0.96</v>
      </c>
      <c r="H42" s="22">
        <v>2.0000000000000001E-161</v>
      </c>
      <c r="I42" s="20">
        <v>57.18</v>
      </c>
      <c r="J42" s="20">
        <v>413</v>
      </c>
      <c r="K42" s="20" t="str">
        <f>HYPERLINK("https://www.ncbi.nlm.nih.gov/protein/WP_089863003.1?report=genbank&amp;log$=prottop&amp;blast_rank=314&amp;RID=ATFAS5CP016","WP_089863003.1")</f>
        <v>WP_089863003.1</v>
      </c>
    </row>
    <row r="43" spans="1:11">
      <c r="A43" s="20" t="s">
        <v>485</v>
      </c>
      <c r="B43" s="31" t="s">
        <v>396</v>
      </c>
      <c r="C43" s="20" t="s">
        <v>397</v>
      </c>
      <c r="D43" s="20" t="s">
        <v>486</v>
      </c>
      <c r="E43" s="20" t="s">
        <v>411</v>
      </c>
      <c r="F43" s="20">
        <v>449</v>
      </c>
      <c r="G43" s="21">
        <v>0.96</v>
      </c>
      <c r="H43" s="22">
        <v>1.0000000000000001E-152</v>
      </c>
      <c r="I43" s="20">
        <v>54.99</v>
      </c>
      <c r="J43" s="20">
        <v>413</v>
      </c>
      <c r="K43" s="20" t="str">
        <f>HYPERLINK("https://www.ncbi.nlm.nih.gov/protein/WP_072830729.1?report=genbank&amp;log$=prottop&amp;blast_rank=386&amp;RID=ATFAS5CP016","WP_072830729.1")</f>
        <v>WP_072830729.1</v>
      </c>
    </row>
    <row r="44" spans="1:11">
      <c r="A44" s="20" t="s">
        <v>487</v>
      </c>
      <c r="B44" s="31" t="s">
        <v>396</v>
      </c>
      <c r="C44" s="20" t="s">
        <v>397</v>
      </c>
      <c r="D44" s="20" t="s">
        <v>488</v>
      </c>
      <c r="E44" s="20" t="s">
        <v>425</v>
      </c>
      <c r="F44" s="20">
        <v>499</v>
      </c>
      <c r="G44" s="21">
        <v>0.96</v>
      </c>
      <c r="H44" s="22">
        <v>4.0000000000000002E-172</v>
      </c>
      <c r="I44" s="20">
        <v>59.12</v>
      </c>
      <c r="J44" s="20">
        <v>415</v>
      </c>
      <c r="K44" s="20" t="str">
        <f>HYPERLINK("https://www.ncbi.nlm.nih.gov/protein/WP_040193483.1?report=genbank&amp;log$=prottop&amp;blast_rank=247&amp;RID=ATFAS5CP016","WP_040193483.1")</f>
        <v>WP_040193483.1</v>
      </c>
    </row>
    <row r="45" spans="1:11">
      <c r="A45" s="20" t="s">
        <v>489</v>
      </c>
      <c r="B45" s="31" t="s">
        <v>396</v>
      </c>
      <c r="C45" s="20" t="s">
        <v>397</v>
      </c>
      <c r="D45" s="20" t="s">
        <v>490</v>
      </c>
      <c r="E45" s="20" t="s">
        <v>425</v>
      </c>
      <c r="F45" s="20">
        <v>472</v>
      </c>
      <c r="G45" s="21">
        <v>0.96</v>
      </c>
      <c r="H45" s="22">
        <v>6.9999999999999998E-162</v>
      </c>
      <c r="I45" s="20">
        <v>56.45</v>
      </c>
      <c r="J45" s="20">
        <v>412</v>
      </c>
      <c r="K45" s="20" t="str">
        <f>HYPERLINK("https://www.ncbi.nlm.nih.gov/protein/WP_040329657.1?report=genbank&amp;log$=prottop&amp;blast_rank=307&amp;RID=ATFAS5CP016","WP_040329657.1")</f>
        <v>WP_040329657.1</v>
      </c>
    </row>
    <row r="46" spans="1:11">
      <c r="A46" s="20" t="s">
        <v>491</v>
      </c>
      <c r="B46" s="31" t="s">
        <v>396</v>
      </c>
      <c r="C46" s="20" t="s">
        <v>397</v>
      </c>
      <c r="D46" s="20" t="s">
        <v>492</v>
      </c>
      <c r="E46" s="20" t="s">
        <v>399</v>
      </c>
      <c r="F46" s="20">
        <v>464</v>
      </c>
      <c r="G46" s="21">
        <v>0.96</v>
      </c>
      <c r="H46" s="22">
        <v>1.0000000000000001E-158</v>
      </c>
      <c r="I46" s="20">
        <v>56.69</v>
      </c>
      <c r="J46" s="20">
        <v>412</v>
      </c>
      <c r="K46" s="20" t="str">
        <f>HYPERLINK("https://www.ncbi.nlm.nih.gov/protein/WP_027623392.1?report=genbank&amp;log$=prottop&amp;blast_rank=342&amp;RID=ATFAS5CP016","WP_027623392.1")</f>
        <v>WP_027623392.1</v>
      </c>
    </row>
    <row r="47" spans="1:11">
      <c r="A47" s="20" t="s">
        <v>493</v>
      </c>
      <c r="B47" s="31" t="s">
        <v>396</v>
      </c>
      <c r="C47" s="20" t="s">
        <v>397</v>
      </c>
      <c r="D47" s="20" t="s">
        <v>398</v>
      </c>
      <c r="E47" s="20" t="s">
        <v>399</v>
      </c>
      <c r="F47" s="20">
        <v>464</v>
      </c>
      <c r="G47" s="21">
        <v>0.96</v>
      </c>
      <c r="H47" s="22">
        <v>2.0000000000000001E-158</v>
      </c>
      <c r="I47" s="20">
        <v>56.93</v>
      </c>
      <c r="J47" s="20">
        <v>412</v>
      </c>
      <c r="K47" s="20" t="str">
        <f>HYPERLINK("https://www.ncbi.nlm.nih.gov/protein/WP_216438608.1?report=genbank&amp;log$=prottop&amp;blast_rank=343&amp;RID=ATFAS5CP016","WP_216438608.1")</f>
        <v>WP_216438608.1</v>
      </c>
    </row>
    <row r="48" spans="1:11">
      <c r="A48" s="20" t="s">
        <v>494</v>
      </c>
      <c r="B48" s="31" t="s">
        <v>396</v>
      </c>
      <c r="C48" s="20" t="s">
        <v>397</v>
      </c>
      <c r="D48" s="20" t="s">
        <v>495</v>
      </c>
      <c r="E48" t="s">
        <v>399</v>
      </c>
      <c r="F48" s="20">
        <v>441</v>
      </c>
      <c r="G48" s="21">
        <v>0.96</v>
      </c>
      <c r="H48" s="22">
        <v>2E-149</v>
      </c>
      <c r="I48" s="20">
        <v>53.88</v>
      </c>
      <c r="J48" s="20">
        <v>412</v>
      </c>
      <c r="K48" s="20" t="str">
        <f>HYPERLINK("https://www.ncbi.nlm.nih.gov/protein/WP_125154262.1?report=genbank&amp;log$=prottop&amp;blast_rank=406&amp;RID=ATFAS5CP016","WP_125154262.1")</f>
        <v>WP_125154262.1</v>
      </c>
    </row>
    <row r="49" spans="1:11">
      <c r="A49" s="20" t="s">
        <v>496</v>
      </c>
      <c r="B49" s="31" t="s">
        <v>396</v>
      </c>
      <c r="C49" s="20" t="s">
        <v>397</v>
      </c>
      <c r="D49" s="20" t="s">
        <v>398</v>
      </c>
      <c r="E49" s="20" t="s">
        <v>399</v>
      </c>
      <c r="F49" s="20">
        <v>472</v>
      </c>
      <c r="G49" s="21">
        <v>0.96</v>
      </c>
      <c r="H49" s="22">
        <v>9.0000000000000005E-162</v>
      </c>
      <c r="I49" s="20">
        <v>56.93</v>
      </c>
      <c r="J49" s="20">
        <v>412</v>
      </c>
      <c r="K49" s="20" t="str">
        <f>HYPERLINK("https://www.ncbi.nlm.nih.gov/protein/WP_216450320.1?report=genbank&amp;log$=prottop&amp;blast_rank=309&amp;RID=ATFAS5CP016","WP_216450320.1")</f>
        <v>WP_216450320.1</v>
      </c>
    </row>
    <row r="50" spans="1:11">
      <c r="A50" s="20" t="s">
        <v>497</v>
      </c>
      <c r="B50" s="31" t="s">
        <v>396</v>
      </c>
      <c r="C50" s="20" t="s">
        <v>397</v>
      </c>
      <c r="D50" s="20" t="s">
        <v>498</v>
      </c>
      <c r="E50" s="33" t="s">
        <v>399</v>
      </c>
      <c r="F50" s="20">
        <v>424</v>
      </c>
      <c r="G50" s="21">
        <v>0.96</v>
      </c>
      <c r="H50" s="22">
        <v>1E-142</v>
      </c>
      <c r="I50" s="20">
        <v>54.26</v>
      </c>
      <c r="J50" s="20">
        <v>411</v>
      </c>
      <c r="K50" s="20" t="str">
        <f>HYPERLINK("https://www.ncbi.nlm.nih.gov/protein/WP_216456263.1?report=genbank&amp;log$=prottop&amp;blast_rank=420&amp;RID=ATFAS5CP016","WP_216456263.1")</f>
        <v>WP_216456263.1</v>
      </c>
    </row>
    <row r="51" spans="1:11">
      <c r="A51" s="20" t="s">
        <v>499</v>
      </c>
      <c r="B51" s="31" t="s">
        <v>396</v>
      </c>
      <c r="C51" s="20" t="s">
        <v>397</v>
      </c>
      <c r="D51" s="20" t="s">
        <v>398</v>
      </c>
      <c r="E51" s="20" t="s">
        <v>399</v>
      </c>
      <c r="F51" s="20">
        <v>840</v>
      </c>
      <c r="G51" s="21">
        <v>0.99</v>
      </c>
      <c r="H51" s="20">
        <v>0</v>
      </c>
      <c r="I51" s="20">
        <v>94.58</v>
      </c>
      <c r="J51" s="20">
        <v>425</v>
      </c>
      <c r="K51" s="20" t="str">
        <f>HYPERLINK("https://www.ncbi.nlm.nih.gov/protein/MBS1326235.1?report=genbank&amp;log$=prottop&amp;blast_rank=86&amp;RID=ATFAS5CP016","MBS1326235.1")</f>
        <v>MBS1326235.1</v>
      </c>
    </row>
    <row r="52" spans="1:11">
      <c r="A52" s="20" t="s">
        <v>500</v>
      </c>
      <c r="B52" s="31" t="s">
        <v>396</v>
      </c>
      <c r="C52" s="20" t="s">
        <v>397</v>
      </c>
      <c r="D52" s="20" t="s">
        <v>501</v>
      </c>
      <c r="E52" s="20" t="s">
        <v>408</v>
      </c>
      <c r="F52" s="20">
        <v>468</v>
      </c>
      <c r="G52" s="21">
        <v>0.96</v>
      </c>
      <c r="H52" s="22">
        <v>5.9999999999999999E-160</v>
      </c>
      <c r="I52" s="20">
        <v>56.69</v>
      </c>
      <c r="J52" s="20">
        <v>420</v>
      </c>
      <c r="K52" s="20" t="str">
        <f>HYPERLINK("https://www.ncbi.nlm.nih.gov/protein/WP_208333477.1?report=genbank&amp;log$=prottop&amp;blast_rank=330&amp;RID=ATFAS5CP016","WP_208333477.1")</f>
        <v>WP_208333477.1</v>
      </c>
    </row>
    <row r="53" spans="1:11">
      <c r="A53" s="20" t="s">
        <v>502</v>
      </c>
      <c r="B53" s="31" t="s">
        <v>396</v>
      </c>
      <c r="C53" s="20" t="s">
        <v>397</v>
      </c>
      <c r="D53" s="20" t="s">
        <v>503</v>
      </c>
      <c r="E53" s="20"/>
      <c r="F53" s="20">
        <v>449</v>
      </c>
      <c r="G53" s="21">
        <v>0.96</v>
      </c>
      <c r="H53" s="22">
        <v>2.0000000000000001E-152</v>
      </c>
      <c r="I53" s="20">
        <v>54.74</v>
      </c>
      <c r="J53" s="20">
        <v>412</v>
      </c>
      <c r="K53" s="20" t="str">
        <f>HYPERLINK("https://www.ncbi.nlm.nih.gov/protein/MCF6465348.1?report=genbank&amp;log$=prottop&amp;blast_rank=387&amp;RID=ATFAS5CP016","MCF6465348.1")</f>
        <v>MCF6465348.1</v>
      </c>
    </row>
    <row r="54" spans="1:11">
      <c r="A54" s="20" t="s">
        <v>504</v>
      </c>
      <c r="B54" s="31" t="s">
        <v>396</v>
      </c>
      <c r="C54" s="20" t="s">
        <v>397</v>
      </c>
      <c r="D54" s="20" t="s">
        <v>503</v>
      </c>
      <c r="E54" s="20"/>
      <c r="F54" s="20">
        <v>455</v>
      </c>
      <c r="G54" s="21">
        <v>0.96</v>
      </c>
      <c r="H54" s="22">
        <v>4.0000000000000001E-155</v>
      </c>
      <c r="I54" s="20">
        <v>55.72</v>
      </c>
      <c r="J54" s="20">
        <v>412</v>
      </c>
      <c r="K54" s="20" t="str">
        <f>HYPERLINK("https://www.ncbi.nlm.nih.gov/protein/WP_236909014.1?report=genbank&amp;log$=prottop&amp;blast_rank=368&amp;RID=ATFAS5CP016","WP_236909014.1")</f>
        <v>WP_236909014.1</v>
      </c>
    </row>
    <row r="55" spans="1:11">
      <c r="A55" s="20" t="s">
        <v>505</v>
      </c>
      <c r="B55" s="31" t="s">
        <v>396</v>
      </c>
      <c r="C55" s="20" t="s">
        <v>397</v>
      </c>
      <c r="D55" s="20" t="s">
        <v>473</v>
      </c>
      <c r="E55" s="20" t="s">
        <v>411</v>
      </c>
      <c r="F55" s="20">
        <v>466</v>
      </c>
      <c r="G55" s="21">
        <v>0.96</v>
      </c>
      <c r="H55" s="22">
        <v>9.9999999999999999E-160</v>
      </c>
      <c r="I55" s="20">
        <v>56.45</v>
      </c>
      <c r="J55" s="20">
        <v>413</v>
      </c>
      <c r="K55" s="20" t="str">
        <f>HYPERLINK("https://www.ncbi.nlm.nih.gov/protein/WP_035293394.1?report=genbank&amp;log$=prottop&amp;blast_rank=336&amp;RID=ATFAS5CP016","WP_035293394.1")</f>
        <v>WP_035293394.1</v>
      </c>
    </row>
    <row r="56" spans="1:11">
      <c r="A56" s="20" t="s">
        <v>506</v>
      </c>
      <c r="B56" s="31" t="s">
        <v>396</v>
      </c>
      <c r="C56" s="20" t="s">
        <v>397</v>
      </c>
      <c r="D56" s="20" t="s">
        <v>507</v>
      </c>
      <c r="E56" s="20" t="s">
        <v>411</v>
      </c>
      <c r="F56" s="20">
        <v>461</v>
      </c>
      <c r="G56" s="21">
        <v>0.96</v>
      </c>
      <c r="H56" s="22">
        <v>3E-157</v>
      </c>
      <c r="I56" s="20">
        <v>53.88</v>
      </c>
      <c r="J56" s="20">
        <v>414</v>
      </c>
      <c r="K56" s="20" t="str">
        <f>HYPERLINK("https://www.ncbi.nlm.nih.gov/protein/WP_035132890.1?report=genbank&amp;log$=prottop&amp;blast_rank=354&amp;RID=ATFAS5CP016","WP_035132890.1")</f>
        <v>WP_035132890.1</v>
      </c>
    </row>
    <row r="57" spans="1:11">
      <c r="A57" s="20" t="s">
        <v>508</v>
      </c>
      <c r="B57" s="31" t="s">
        <v>396</v>
      </c>
      <c r="C57" s="20" t="s">
        <v>397</v>
      </c>
      <c r="D57" s="20" t="s">
        <v>509</v>
      </c>
      <c r="E57" s="20" t="s">
        <v>510</v>
      </c>
      <c r="F57" s="20">
        <v>468</v>
      </c>
      <c r="G57" s="21">
        <v>0.96</v>
      </c>
      <c r="H57" s="22">
        <v>3E-160</v>
      </c>
      <c r="I57" s="20">
        <v>56.45</v>
      </c>
      <c r="J57" s="20">
        <v>415</v>
      </c>
      <c r="K57" s="20" t="str">
        <f>HYPERLINK("https://www.ncbi.nlm.nih.gov/protein/WP_035141630.1?report=genbank&amp;log$=prottop&amp;blast_rank=326&amp;RID=ATFAS5CP016","WP_035141630.1")</f>
        <v>WP_035141630.1</v>
      </c>
    </row>
    <row r="58" spans="1:11">
      <c r="A58" s="20" t="s">
        <v>511</v>
      </c>
      <c r="B58" s="31" t="s">
        <v>396</v>
      </c>
      <c r="C58" s="20" t="s">
        <v>397</v>
      </c>
      <c r="D58" s="20" t="s">
        <v>473</v>
      </c>
      <c r="E58" s="20" t="s">
        <v>411</v>
      </c>
      <c r="F58" s="20">
        <v>458</v>
      </c>
      <c r="G58" s="21">
        <v>0.96</v>
      </c>
      <c r="H58" s="22">
        <v>3.0000000000000002E-156</v>
      </c>
      <c r="I58" s="20">
        <v>54.99</v>
      </c>
      <c r="J58" s="20">
        <v>412</v>
      </c>
      <c r="K58" s="20" t="str">
        <f>HYPERLINK("https://www.ncbi.nlm.nih.gov/protein/WP_035148934.1?report=genbank&amp;log$=prottop&amp;blast_rank=360&amp;RID=ATFAS5CP016","WP_035148934.1")</f>
        <v>WP_035148934.1</v>
      </c>
    </row>
    <row r="59" spans="1:11">
      <c r="A59" s="20" t="s">
        <v>512</v>
      </c>
      <c r="B59" s="31" t="s">
        <v>396</v>
      </c>
      <c r="C59" s="20" t="s">
        <v>397</v>
      </c>
      <c r="D59" s="20" t="s">
        <v>513</v>
      </c>
      <c r="E59" s="20" t="s">
        <v>411</v>
      </c>
      <c r="F59" s="20">
        <v>498</v>
      </c>
      <c r="G59" s="21">
        <v>0.96</v>
      </c>
      <c r="H59" s="22">
        <v>9.9999999999999998E-172</v>
      </c>
      <c r="I59" s="20">
        <v>58.15</v>
      </c>
      <c r="J59" s="20">
        <v>420</v>
      </c>
      <c r="K59" s="20" t="str">
        <f>HYPERLINK("https://www.ncbi.nlm.nih.gov/protein/WP_090094208.1?report=genbank&amp;log$=prottop&amp;blast_rank=252&amp;RID=ATFAS5CP016","WP_090094208.1")</f>
        <v>WP_090094208.1</v>
      </c>
    </row>
    <row r="60" spans="1:11">
      <c r="A60" s="20" t="s">
        <v>514</v>
      </c>
      <c r="B60" s="31" t="s">
        <v>396</v>
      </c>
      <c r="C60" s="20" t="s">
        <v>397</v>
      </c>
      <c r="D60" s="20" t="s">
        <v>515</v>
      </c>
      <c r="E60" s="20" t="s">
        <v>411</v>
      </c>
      <c r="F60" s="20">
        <v>498</v>
      </c>
      <c r="G60" s="21">
        <v>0.95</v>
      </c>
      <c r="H60" s="22">
        <v>4.0000000000000002E-172</v>
      </c>
      <c r="I60" s="20">
        <v>58.19</v>
      </c>
      <c r="J60" s="20">
        <v>415</v>
      </c>
      <c r="K60" s="20" t="str">
        <f>HYPERLINK("https://www.ncbi.nlm.nih.gov/protein/WP_219779195.1?report=genbank&amp;log$=prottop&amp;blast_rank=249&amp;RID=ATFAS5CP016","WP_219779195.1")</f>
        <v>WP_219779195.1</v>
      </c>
    </row>
    <row r="61" spans="1:11">
      <c r="A61" s="20" t="s">
        <v>516</v>
      </c>
      <c r="B61" s="31" t="s">
        <v>420</v>
      </c>
      <c r="C61" s="20" t="s">
        <v>463</v>
      </c>
      <c r="D61" s="20" t="s">
        <v>398</v>
      </c>
      <c r="E61" s="20" t="s">
        <v>399</v>
      </c>
      <c r="F61" s="20">
        <v>755</v>
      </c>
      <c r="G61" s="21">
        <v>0.99</v>
      </c>
      <c r="H61" s="20">
        <v>0</v>
      </c>
      <c r="I61" s="20">
        <v>83.84</v>
      </c>
      <c r="J61" s="20">
        <v>428</v>
      </c>
      <c r="K61" s="20" t="str">
        <f>HYPERLINK("https://www.ncbi.nlm.nih.gov/protein/NMF56329.1?report=genbank&amp;log$=prottop&amp;blast_rank=104&amp;RID=ATFAS5CP016","NMF56329.1")</f>
        <v>NMF56329.1</v>
      </c>
    </row>
    <row r="62" spans="1:11">
      <c r="A62" s="20" t="s">
        <v>517</v>
      </c>
      <c r="B62" s="31" t="s">
        <v>420</v>
      </c>
      <c r="C62" s="20" t="s">
        <v>463</v>
      </c>
      <c r="D62" s="20" t="s">
        <v>398</v>
      </c>
      <c r="E62" s="20" t="s">
        <v>399</v>
      </c>
      <c r="F62" s="20">
        <v>755</v>
      </c>
      <c r="G62" s="21">
        <v>0.99</v>
      </c>
      <c r="H62" s="20">
        <v>0</v>
      </c>
      <c r="I62" s="20">
        <v>83.37</v>
      </c>
      <c r="J62" s="20">
        <v>428</v>
      </c>
      <c r="K62" s="20" t="str">
        <f>HYPERLINK("https://www.ncbi.nlm.nih.gov/protein/WP_040220141.1?report=genbank&amp;log$=prottop&amp;blast_rank=103&amp;RID=ATFAS5CP016","WP_040220141.1")</f>
        <v>WP_040220141.1</v>
      </c>
    </row>
    <row r="63" spans="1:11">
      <c r="A63" s="20" t="s">
        <v>518</v>
      </c>
      <c r="B63" s="31" t="s">
        <v>420</v>
      </c>
      <c r="C63" s="20" t="s">
        <v>463</v>
      </c>
      <c r="D63" s="20" t="s">
        <v>398</v>
      </c>
      <c r="E63" s="20" t="s">
        <v>399</v>
      </c>
      <c r="F63" s="20">
        <v>783</v>
      </c>
      <c r="G63" s="21">
        <v>0.99</v>
      </c>
      <c r="H63" s="20">
        <v>0</v>
      </c>
      <c r="I63" s="20">
        <v>87.03</v>
      </c>
      <c r="J63" s="20">
        <v>424</v>
      </c>
      <c r="K63" s="20" t="str">
        <f>HYPERLINK("https://www.ncbi.nlm.nih.gov/protein/HJG30622.1?report=genbank&amp;log$=prottop&amp;blast_rank=96&amp;RID=ATFAS5CP016","HJG30622.1")</f>
        <v>HJG30622.1</v>
      </c>
    </row>
    <row r="64" spans="1:11">
      <c r="A64" s="20" t="s">
        <v>163</v>
      </c>
      <c r="B64" s="31" t="s">
        <v>420</v>
      </c>
      <c r="C64" s="20" t="s">
        <v>463</v>
      </c>
      <c r="D64" s="20" t="s">
        <v>398</v>
      </c>
      <c r="E64" s="20" t="s">
        <v>399</v>
      </c>
      <c r="F64" s="20">
        <v>884</v>
      </c>
      <c r="G64" s="21">
        <v>1</v>
      </c>
      <c r="H64" s="20">
        <v>0</v>
      </c>
      <c r="I64" s="20">
        <v>100</v>
      </c>
      <c r="J64" s="20">
        <v>425</v>
      </c>
      <c r="K64" s="20" t="str">
        <f>HYPERLINK("https://www.ncbi.nlm.nih.gov/protein/WP_006723367.1?report=genbank&amp;log$=prottop&amp;blast_rank=1&amp;RID=ATFAS5CP016","WP_006723367.1")</f>
        <v>WP_006723367.1</v>
      </c>
    </row>
    <row r="65" spans="1:11">
      <c r="A65" s="20" t="s">
        <v>519</v>
      </c>
      <c r="B65" s="31" t="s">
        <v>420</v>
      </c>
      <c r="C65" s="20" t="s">
        <v>463</v>
      </c>
      <c r="D65" s="20" t="s">
        <v>398</v>
      </c>
      <c r="E65" s="20" t="s">
        <v>399</v>
      </c>
      <c r="F65" s="20">
        <v>808</v>
      </c>
      <c r="G65" s="21">
        <v>0.99</v>
      </c>
      <c r="H65" s="20">
        <v>0</v>
      </c>
      <c r="I65" s="20">
        <v>92.22</v>
      </c>
      <c r="J65" s="20">
        <v>425</v>
      </c>
      <c r="K65" s="20" t="str">
        <f>HYPERLINK("https://www.ncbi.nlm.nih.gov/protein/WP_072415032.1?report=genbank&amp;log$=prottop&amp;blast_rank=90&amp;RID=ATFAS5CP016","WP_072415032.1")</f>
        <v>WP_072415032.1</v>
      </c>
    </row>
    <row r="66" spans="1:11">
      <c r="A66" s="20" t="s">
        <v>520</v>
      </c>
      <c r="B66" s="31" t="s">
        <v>420</v>
      </c>
      <c r="C66" s="20" t="s">
        <v>463</v>
      </c>
      <c r="D66" s="20" t="s">
        <v>398</v>
      </c>
      <c r="E66" s="20" t="s">
        <v>399</v>
      </c>
      <c r="F66" s="20">
        <v>852</v>
      </c>
      <c r="G66" s="21">
        <v>1</v>
      </c>
      <c r="H66" s="20">
        <v>0</v>
      </c>
      <c r="I66" s="20">
        <v>95.06</v>
      </c>
      <c r="J66" s="20">
        <v>425</v>
      </c>
      <c r="K66" s="20" t="str">
        <f>HYPERLINK("https://www.ncbi.nlm.nih.gov/protein/WP_102338201.1?report=genbank&amp;log$=prottop&amp;blast_rank=17&amp;RID=ATFAS5CP016","WP_102338201.1")</f>
        <v>WP_102338201.1</v>
      </c>
    </row>
    <row r="67" spans="1:11">
      <c r="A67" s="20" t="s">
        <v>521</v>
      </c>
      <c r="B67" s="31" t="s">
        <v>420</v>
      </c>
      <c r="C67" s="20" t="s">
        <v>463</v>
      </c>
      <c r="D67" s="20" t="s">
        <v>398</v>
      </c>
      <c r="E67" s="20" t="s">
        <v>399</v>
      </c>
      <c r="F67" s="20">
        <v>847</v>
      </c>
      <c r="G67" s="21">
        <v>0.99</v>
      </c>
      <c r="H67" s="20">
        <v>0</v>
      </c>
      <c r="I67" s="20">
        <v>95.05</v>
      </c>
      <c r="J67" s="20">
        <v>425</v>
      </c>
      <c r="K67" s="20" t="str">
        <f>HYPERLINK("https://www.ncbi.nlm.nih.gov/protein/MBS5396342.1?report=genbank&amp;log$=prottop&amp;blast_rank=22&amp;RID=ATFAS5CP016","MBS5396342.1")</f>
        <v>MBS5396342.1</v>
      </c>
    </row>
    <row r="68" spans="1:11">
      <c r="A68" s="20" t="s">
        <v>522</v>
      </c>
      <c r="B68" s="31" t="s">
        <v>420</v>
      </c>
      <c r="C68" s="20" t="s">
        <v>463</v>
      </c>
      <c r="D68" s="20" t="s">
        <v>523</v>
      </c>
      <c r="E68" s="20" t="s">
        <v>408</v>
      </c>
      <c r="F68" s="20">
        <v>842</v>
      </c>
      <c r="G68" s="21">
        <v>0.99</v>
      </c>
      <c r="H68" s="20">
        <v>0</v>
      </c>
      <c r="I68" s="20">
        <v>94.58</v>
      </c>
      <c r="J68" s="20">
        <v>425</v>
      </c>
      <c r="K68" s="20" t="str">
        <f>HYPERLINK("https://www.ncbi.nlm.nih.gov/protein/WP_035136749.1?report=genbank&amp;log$=prottop&amp;blast_rank=70&amp;RID=ATFAS5CP016","WP_035136749.1")</f>
        <v>WP_035136749.1</v>
      </c>
    </row>
    <row r="69" spans="1:11">
      <c r="A69" s="20" t="s">
        <v>524</v>
      </c>
      <c r="B69" s="31" t="s">
        <v>420</v>
      </c>
      <c r="C69" s="20" t="s">
        <v>463</v>
      </c>
      <c r="D69" s="20" t="s">
        <v>398</v>
      </c>
      <c r="E69" s="20" t="s">
        <v>399</v>
      </c>
      <c r="F69" s="20">
        <v>844</v>
      </c>
      <c r="G69" s="21">
        <v>0.99</v>
      </c>
      <c r="H69" s="20">
        <v>0</v>
      </c>
      <c r="I69" s="20">
        <v>94.58</v>
      </c>
      <c r="J69" s="20">
        <v>425</v>
      </c>
      <c r="K69" s="20" t="str">
        <f>HYPERLINK("https://www.ncbi.nlm.nih.gov/protein/WP_118256856.1?report=genbank&amp;log$=prottop&amp;blast_rank=46&amp;RID=ATFAS5CP016","WP_118256856.1")</f>
        <v>WP_118256856.1</v>
      </c>
    </row>
    <row r="70" spans="1:11">
      <c r="A70" s="20" t="s">
        <v>525</v>
      </c>
      <c r="B70" s="31" t="s">
        <v>420</v>
      </c>
      <c r="C70" s="20" t="s">
        <v>463</v>
      </c>
      <c r="D70" s="20" t="s">
        <v>398</v>
      </c>
      <c r="E70" s="20" t="s">
        <v>399</v>
      </c>
      <c r="F70" s="20">
        <v>874</v>
      </c>
      <c r="G70" s="21">
        <v>1</v>
      </c>
      <c r="H70" s="20">
        <v>0</v>
      </c>
      <c r="I70" s="20">
        <v>98.35</v>
      </c>
      <c r="J70" s="20">
        <v>425</v>
      </c>
      <c r="K70" s="20" t="str">
        <f>HYPERLINK("https://www.ncbi.nlm.nih.gov/protein/WP_118652856.1?report=genbank&amp;log$=prottop&amp;blast_rank=9&amp;RID=ATFAS5CP016","WP_118652856.1")</f>
        <v>WP_118652856.1</v>
      </c>
    </row>
    <row r="71" spans="1:11">
      <c r="A71" s="20" t="s">
        <v>526</v>
      </c>
      <c r="B71" s="31" t="s">
        <v>420</v>
      </c>
      <c r="C71" s="20" t="s">
        <v>463</v>
      </c>
      <c r="D71" s="20" t="s">
        <v>398</v>
      </c>
      <c r="E71" s="20" t="s">
        <v>399</v>
      </c>
      <c r="F71" s="20">
        <v>843</v>
      </c>
      <c r="G71" s="21">
        <v>0.99</v>
      </c>
      <c r="H71" s="20">
        <v>0</v>
      </c>
      <c r="I71" s="20">
        <v>94.8</v>
      </c>
      <c r="J71" s="20">
        <v>425</v>
      </c>
      <c r="K71" s="20" t="str">
        <f>HYPERLINK("https://www.ncbi.nlm.nih.gov/protein/WP_117776755.1?report=genbank&amp;log$=prottop&amp;blast_rank=62&amp;RID=ATFAS5CP016","WP_117776755.1")</f>
        <v>WP_117776755.1</v>
      </c>
    </row>
    <row r="72" spans="1:11">
      <c r="A72" s="20" t="s">
        <v>527</v>
      </c>
      <c r="B72" s="31" t="s">
        <v>420</v>
      </c>
      <c r="C72" s="20" t="s">
        <v>463</v>
      </c>
      <c r="D72" s="20" t="s">
        <v>398</v>
      </c>
      <c r="E72" s="20" t="s">
        <v>399</v>
      </c>
      <c r="F72" s="20">
        <v>842</v>
      </c>
      <c r="G72" s="21">
        <v>0.99</v>
      </c>
      <c r="H72" s="20">
        <v>0</v>
      </c>
      <c r="I72" s="20">
        <v>94.58</v>
      </c>
      <c r="J72" s="20">
        <v>425</v>
      </c>
      <c r="K72" s="20" t="str">
        <f>HYPERLINK("https://www.ncbi.nlm.nih.gov/protein/WP_117774316.1?report=genbank&amp;log$=prottop&amp;blast_rank=72&amp;RID=ATFAS5CP016","WP_117774316.1")</f>
        <v>WP_117774316.1</v>
      </c>
    </row>
    <row r="73" spans="1:11">
      <c r="A73" s="20" t="s">
        <v>528</v>
      </c>
      <c r="B73" s="31" t="s">
        <v>420</v>
      </c>
      <c r="C73" s="20" t="s">
        <v>463</v>
      </c>
      <c r="D73" s="20" t="s">
        <v>398</v>
      </c>
      <c r="E73" s="20" t="s">
        <v>399</v>
      </c>
      <c r="F73" s="20">
        <v>843</v>
      </c>
      <c r="G73" s="21">
        <v>0.99</v>
      </c>
      <c r="H73" s="20">
        <v>0</v>
      </c>
      <c r="I73" s="20">
        <v>94.58</v>
      </c>
      <c r="J73" s="20">
        <v>425</v>
      </c>
      <c r="K73" s="20" t="str">
        <f>HYPERLINK("https://www.ncbi.nlm.nih.gov/protein/WP_117848795.1?report=genbank&amp;log$=prottop&amp;blast_rank=67&amp;RID=ATFAS5CP016","WP_117848795.1")</f>
        <v>WP_117848795.1</v>
      </c>
    </row>
    <row r="74" spans="1:11">
      <c r="A74" s="20" t="s">
        <v>529</v>
      </c>
      <c r="B74" s="31" t="s">
        <v>420</v>
      </c>
      <c r="C74" s="20" t="s">
        <v>463</v>
      </c>
      <c r="D74" s="20" t="s">
        <v>398</v>
      </c>
      <c r="E74" s="20" t="s">
        <v>399</v>
      </c>
      <c r="F74" s="20">
        <v>846</v>
      </c>
      <c r="G74" s="21">
        <v>0.99</v>
      </c>
      <c r="H74" s="20">
        <v>0</v>
      </c>
      <c r="I74" s="20">
        <v>95.05</v>
      </c>
      <c r="J74" s="20">
        <v>425</v>
      </c>
      <c r="K74" s="20" t="str">
        <f>HYPERLINK("https://www.ncbi.nlm.nih.gov/protein/WP_118405886.1?report=genbank&amp;log$=prottop&amp;blast_rank=25&amp;RID=ATFAS5CP016","WP_118405886.1")</f>
        <v>WP_118405886.1</v>
      </c>
    </row>
    <row r="75" spans="1:11">
      <c r="A75" s="20" t="s">
        <v>530</v>
      </c>
      <c r="B75" s="31" t="s">
        <v>420</v>
      </c>
      <c r="C75" s="20" t="s">
        <v>463</v>
      </c>
      <c r="D75" s="20" t="s">
        <v>398</v>
      </c>
      <c r="E75" s="20" t="s">
        <v>399</v>
      </c>
      <c r="F75" s="20">
        <v>847</v>
      </c>
      <c r="G75" s="21">
        <v>0.99</v>
      </c>
      <c r="H75" s="20">
        <v>0</v>
      </c>
      <c r="I75" s="20">
        <v>95.28</v>
      </c>
      <c r="J75" s="20">
        <v>425</v>
      </c>
      <c r="K75" s="20" t="str">
        <f>HYPERLINK("https://www.ncbi.nlm.nih.gov/protein/WP_118238167.1?report=genbank&amp;log$=prottop&amp;blast_rank=21&amp;RID=ATFAS5CP016","WP_118238167.1")</f>
        <v>WP_118238167.1</v>
      </c>
    </row>
    <row r="76" spans="1:11">
      <c r="A76" s="20" t="s">
        <v>531</v>
      </c>
      <c r="B76" s="31" t="s">
        <v>420</v>
      </c>
      <c r="C76" s="20" t="s">
        <v>463</v>
      </c>
      <c r="D76" s="20" t="s">
        <v>398</v>
      </c>
      <c r="E76" s="20" t="s">
        <v>399</v>
      </c>
      <c r="F76" s="20">
        <v>843</v>
      </c>
      <c r="G76" s="21">
        <v>0.99</v>
      </c>
      <c r="H76" s="20">
        <v>0</v>
      </c>
      <c r="I76" s="20">
        <v>95.05</v>
      </c>
      <c r="J76" s="20">
        <v>425</v>
      </c>
      <c r="K76" s="20" t="str">
        <f>HYPERLINK("https://www.ncbi.nlm.nih.gov/protein/WP_118267727.1?report=genbank&amp;log$=prottop&amp;blast_rank=48&amp;RID=ATFAS5CP016","WP_118267727.1")</f>
        <v>WP_118267727.1</v>
      </c>
    </row>
    <row r="77" spans="1:11">
      <c r="A77" s="20" t="s">
        <v>532</v>
      </c>
      <c r="B77" s="31" t="s">
        <v>420</v>
      </c>
      <c r="C77" s="20" t="s">
        <v>463</v>
      </c>
      <c r="D77" s="20" t="s">
        <v>398</v>
      </c>
      <c r="E77" s="20" t="s">
        <v>399</v>
      </c>
      <c r="F77" s="20">
        <v>842</v>
      </c>
      <c r="G77" s="21">
        <v>0.99</v>
      </c>
      <c r="H77" s="20">
        <v>0</v>
      </c>
      <c r="I77" s="20">
        <v>94.34</v>
      </c>
      <c r="J77" s="20">
        <v>425</v>
      </c>
      <c r="K77" s="20" t="str">
        <f>HYPERLINK("https://www.ncbi.nlm.nih.gov/protein/WP_118098116.1?report=genbank&amp;log$=prottop&amp;blast_rank=76&amp;RID=ATFAS5CP016","WP_118098116.1")</f>
        <v>WP_118098116.1</v>
      </c>
    </row>
    <row r="78" spans="1:11">
      <c r="A78" s="20" t="s">
        <v>533</v>
      </c>
      <c r="B78" s="31" t="s">
        <v>420</v>
      </c>
      <c r="C78" s="20" t="s">
        <v>463</v>
      </c>
      <c r="D78" s="20" t="s">
        <v>398</v>
      </c>
      <c r="E78" s="20" t="s">
        <v>399</v>
      </c>
      <c r="F78" s="20">
        <v>843</v>
      </c>
      <c r="G78" s="21">
        <v>0.99</v>
      </c>
      <c r="H78" s="20">
        <v>0</v>
      </c>
      <c r="I78" s="20">
        <v>94.81</v>
      </c>
      <c r="J78" s="20">
        <v>425</v>
      </c>
      <c r="K78" s="20" t="str">
        <f>HYPERLINK("https://www.ncbi.nlm.nih.gov/protein/WP_118066200.1?report=genbank&amp;log$=prottop&amp;blast_rank=57&amp;RID=ATFAS5CP016","WP_118066200.1")</f>
        <v>WP_118066200.1</v>
      </c>
    </row>
    <row r="79" spans="1:11">
      <c r="A79" s="20" t="s">
        <v>534</v>
      </c>
      <c r="B79" s="31" t="s">
        <v>420</v>
      </c>
      <c r="C79" s="20" t="s">
        <v>463</v>
      </c>
      <c r="D79" s="20" t="s">
        <v>398</v>
      </c>
      <c r="E79" s="20" t="s">
        <v>399</v>
      </c>
      <c r="F79" s="20">
        <v>845</v>
      </c>
      <c r="G79" s="21">
        <v>0.99</v>
      </c>
      <c r="H79" s="20">
        <v>0</v>
      </c>
      <c r="I79" s="20">
        <v>94.81</v>
      </c>
      <c r="J79" s="20">
        <v>425</v>
      </c>
      <c r="K79" s="20" t="str">
        <f>HYPERLINK("https://www.ncbi.nlm.nih.gov/protein/WP_117786916.1?report=genbank&amp;log$=prottop&amp;blast_rank=31&amp;RID=ATFAS5CP016","WP_117786916.1")</f>
        <v>WP_117786916.1</v>
      </c>
    </row>
    <row r="80" spans="1:11">
      <c r="A80" s="20" t="s">
        <v>535</v>
      </c>
      <c r="B80" s="31" t="s">
        <v>420</v>
      </c>
      <c r="C80" s="20" t="s">
        <v>463</v>
      </c>
      <c r="D80" s="20" t="s">
        <v>398</v>
      </c>
      <c r="E80" s="20" t="s">
        <v>399</v>
      </c>
      <c r="F80" s="20">
        <v>845</v>
      </c>
      <c r="G80" s="21">
        <v>0.99</v>
      </c>
      <c r="H80" s="20">
        <v>0</v>
      </c>
      <c r="I80" s="20">
        <v>95.05</v>
      </c>
      <c r="J80" s="20">
        <v>425</v>
      </c>
      <c r="K80" s="20" t="str">
        <f>HYPERLINK("https://www.ncbi.nlm.nih.gov/protein/WP_117800765.1?report=genbank&amp;log$=prottop&amp;blast_rank=33&amp;RID=ATFAS5CP016","WP_117800765.1")</f>
        <v>WP_117800765.1</v>
      </c>
    </row>
    <row r="81" spans="1:11">
      <c r="A81" s="20" t="s">
        <v>536</v>
      </c>
      <c r="B81" s="31" t="s">
        <v>420</v>
      </c>
      <c r="C81" s="20" t="s">
        <v>463</v>
      </c>
      <c r="D81" s="20" t="s">
        <v>398</v>
      </c>
      <c r="E81" s="20" t="s">
        <v>399</v>
      </c>
      <c r="F81" s="20">
        <v>847</v>
      </c>
      <c r="G81" s="21">
        <v>0.99</v>
      </c>
      <c r="H81" s="20">
        <v>0</v>
      </c>
      <c r="I81" s="20">
        <v>95.05</v>
      </c>
      <c r="J81" s="20">
        <v>425</v>
      </c>
      <c r="K81" s="20" t="str">
        <f>HYPERLINK("https://www.ncbi.nlm.nih.gov/protein/WP_117790293.1?report=genbank&amp;log$=prottop&amp;blast_rank=23&amp;RID=ATFAS5CP016","WP_117790293.1")</f>
        <v>WP_117790293.1</v>
      </c>
    </row>
    <row r="82" spans="1:11">
      <c r="A82" s="20" t="s">
        <v>537</v>
      </c>
      <c r="B82" s="31" t="s">
        <v>420</v>
      </c>
      <c r="C82" s="20" t="s">
        <v>463</v>
      </c>
      <c r="D82" s="20" t="s">
        <v>538</v>
      </c>
      <c r="E82" s="20" t="s">
        <v>399</v>
      </c>
      <c r="F82" s="20">
        <v>786</v>
      </c>
      <c r="G82" s="21">
        <v>0.99</v>
      </c>
      <c r="H82" s="20">
        <v>0</v>
      </c>
      <c r="I82" s="20">
        <v>87.32</v>
      </c>
      <c r="J82" s="20">
        <v>427</v>
      </c>
      <c r="K82" s="20" t="str">
        <f>HYPERLINK("https://www.ncbi.nlm.nih.gov/protein/WP_087409823.1?report=genbank&amp;log$=prottop&amp;blast_rank=94&amp;RID=ATFAS5CP016","WP_087409823.1")</f>
        <v>WP_087409823.1</v>
      </c>
    </row>
    <row r="83" spans="1:11">
      <c r="A83" s="20" t="s">
        <v>539</v>
      </c>
      <c r="B83" s="31" t="s">
        <v>420</v>
      </c>
      <c r="C83" s="20" t="s">
        <v>463</v>
      </c>
      <c r="D83" s="20" t="s">
        <v>398</v>
      </c>
      <c r="E83" s="20" t="s">
        <v>399</v>
      </c>
      <c r="F83" s="20">
        <v>844</v>
      </c>
      <c r="G83" s="21">
        <v>0.99</v>
      </c>
      <c r="H83" s="20">
        <v>0</v>
      </c>
      <c r="I83" s="20">
        <v>94.81</v>
      </c>
      <c r="J83" s="20">
        <v>425</v>
      </c>
      <c r="K83" s="20" t="str">
        <f>HYPERLINK("https://www.ncbi.nlm.nih.gov/protein/CDA35923.1?report=genbank&amp;log$=prottop&amp;blast_rank=43&amp;RID=ATFAS5CP016","CDA35923.1")</f>
        <v>CDA35923.1</v>
      </c>
    </row>
    <row r="84" spans="1:11">
      <c r="A84" s="20" t="s">
        <v>540</v>
      </c>
      <c r="B84" s="31" t="s">
        <v>420</v>
      </c>
      <c r="C84" s="20" t="s">
        <v>463</v>
      </c>
      <c r="D84" s="20" t="s">
        <v>398</v>
      </c>
      <c r="E84" s="20" t="s">
        <v>399</v>
      </c>
      <c r="F84" s="20">
        <v>751</v>
      </c>
      <c r="G84" s="21">
        <v>0.99</v>
      </c>
      <c r="H84" s="20">
        <v>0</v>
      </c>
      <c r="I84" s="20">
        <v>82.67</v>
      </c>
      <c r="J84" s="20">
        <v>428</v>
      </c>
      <c r="K84" s="20" t="str">
        <f>HYPERLINK("https://www.ncbi.nlm.nih.gov/protein/CDD84350.1?report=genbank&amp;log$=prottop&amp;blast_rank=109&amp;RID=ATFAS5CP016","CDD84350.1")</f>
        <v>CDD84350.1</v>
      </c>
    </row>
    <row r="85" spans="1:11">
      <c r="A85" s="20" t="s">
        <v>541</v>
      </c>
      <c r="B85" s="31" t="s">
        <v>420</v>
      </c>
      <c r="C85" s="20" t="s">
        <v>463</v>
      </c>
      <c r="D85" s="20" t="s">
        <v>398</v>
      </c>
      <c r="E85" s="20" t="s">
        <v>399</v>
      </c>
      <c r="F85" s="20">
        <v>844</v>
      </c>
      <c r="G85" s="21">
        <v>0.99</v>
      </c>
      <c r="H85" s="20">
        <v>0</v>
      </c>
      <c r="I85" s="20">
        <v>95.28</v>
      </c>
      <c r="J85" s="20">
        <v>425</v>
      </c>
      <c r="K85" s="20" t="str">
        <f>HYPERLINK("https://www.ncbi.nlm.nih.gov/protein/WP_117806056.1?report=genbank&amp;log$=prottop&amp;blast_rank=42&amp;RID=ATFAS5CP016","WP_117806056.1")</f>
        <v>WP_117806056.1</v>
      </c>
    </row>
    <row r="86" spans="1:11">
      <c r="A86" s="20" t="s">
        <v>542</v>
      </c>
      <c r="B86" s="31" t="s">
        <v>420</v>
      </c>
      <c r="C86" s="20" t="s">
        <v>463</v>
      </c>
      <c r="D86" s="20" t="s">
        <v>398</v>
      </c>
      <c r="E86" s="20" t="s">
        <v>399</v>
      </c>
      <c r="F86" s="20">
        <v>844</v>
      </c>
      <c r="G86" s="21">
        <v>0.99</v>
      </c>
      <c r="H86" s="20">
        <v>0</v>
      </c>
      <c r="I86" s="20">
        <v>95.05</v>
      </c>
      <c r="J86" s="20">
        <v>425</v>
      </c>
      <c r="K86" s="20" t="str">
        <f>HYPERLINK("https://www.ncbi.nlm.nih.gov/protein/WP_117736886.1?report=genbank&amp;log$=prottop&amp;blast_rank=41&amp;RID=ATFAS5CP016","WP_117736886.1")</f>
        <v>WP_117736886.1</v>
      </c>
    </row>
    <row r="87" spans="1:11">
      <c r="A87" s="20" t="s">
        <v>543</v>
      </c>
      <c r="B87" s="31" t="s">
        <v>420</v>
      </c>
      <c r="C87" s="20" t="s">
        <v>463</v>
      </c>
      <c r="D87" s="20" t="s">
        <v>398</v>
      </c>
      <c r="E87" s="20" t="s">
        <v>399</v>
      </c>
      <c r="F87" s="20">
        <v>844</v>
      </c>
      <c r="G87" s="21">
        <v>0.99</v>
      </c>
      <c r="H87" s="20">
        <v>0</v>
      </c>
      <c r="I87" s="20">
        <v>94.81</v>
      </c>
      <c r="J87" s="20">
        <v>425</v>
      </c>
      <c r="K87" s="20" t="str">
        <f>HYPERLINK("https://www.ncbi.nlm.nih.gov/protein/WP_117716145.1?report=genbank&amp;log$=prottop&amp;blast_rank=44&amp;RID=ATFAS5CP016","WP_117716145.1")</f>
        <v>WP_117716145.1</v>
      </c>
    </row>
    <row r="88" spans="1:11">
      <c r="A88" s="20" t="s">
        <v>544</v>
      </c>
      <c r="B88" s="31" t="s">
        <v>420</v>
      </c>
      <c r="C88" s="20" t="s">
        <v>463</v>
      </c>
      <c r="D88" s="20" t="s">
        <v>398</v>
      </c>
      <c r="E88" s="20" t="s">
        <v>399</v>
      </c>
      <c r="F88" s="20">
        <v>845</v>
      </c>
      <c r="G88" s="21">
        <v>0.99</v>
      </c>
      <c r="H88" s="20">
        <v>0</v>
      </c>
      <c r="I88" s="20">
        <v>95.05</v>
      </c>
      <c r="J88" s="20">
        <v>425</v>
      </c>
      <c r="K88" s="20" t="str">
        <f>HYPERLINK("https://www.ncbi.nlm.nih.gov/protein/WP_117638137.1?report=genbank&amp;log$=prottop&amp;blast_rank=37&amp;RID=ATFAS5CP016","WP_117638137.1")</f>
        <v>WP_117638137.1</v>
      </c>
    </row>
    <row r="89" spans="1:11">
      <c r="A89" s="20" t="s">
        <v>545</v>
      </c>
      <c r="B89" s="31" t="s">
        <v>420</v>
      </c>
      <c r="C89" s="20" t="s">
        <v>463</v>
      </c>
      <c r="D89" s="20" t="s">
        <v>503</v>
      </c>
      <c r="E89" s="20"/>
      <c r="F89" s="20">
        <v>754</v>
      </c>
      <c r="G89" s="21">
        <v>0.99</v>
      </c>
      <c r="H89" s="20">
        <v>0</v>
      </c>
      <c r="I89" s="20">
        <v>84.78</v>
      </c>
      <c r="J89" s="20">
        <v>428</v>
      </c>
      <c r="K89" s="20" t="str">
        <f>HYPERLINK("https://www.ncbi.nlm.nih.gov/protein/WP_216279102.1?report=genbank&amp;log$=prottop&amp;blast_rank=106&amp;RID=ATFAS5CP016","WP_216279102.1")</f>
        <v>WP_216279102.1</v>
      </c>
    </row>
    <row r="90" spans="1:11">
      <c r="A90" s="20" t="s">
        <v>546</v>
      </c>
      <c r="B90" s="31" t="s">
        <v>420</v>
      </c>
      <c r="C90" s="20" t="s">
        <v>463</v>
      </c>
      <c r="D90" s="20" t="s">
        <v>398</v>
      </c>
      <c r="E90" s="20" t="s">
        <v>399</v>
      </c>
      <c r="F90" s="20">
        <v>879</v>
      </c>
      <c r="G90" s="21">
        <v>1</v>
      </c>
      <c r="H90" s="20">
        <v>0</v>
      </c>
      <c r="I90" s="20">
        <v>98.82</v>
      </c>
      <c r="J90" s="20">
        <v>425</v>
      </c>
      <c r="K90" s="20" t="str">
        <f>HYPERLINK("https://www.ncbi.nlm.nih.gov/protein/WP_006721692.1?report=genbank&amp;log$=prottop&amp;blast_rank=7&amp;RID=ATFAS5CP016","WP_006721692.1")</f>
        <v>WP_006721692.1</v>
      </c>
    </row>
    <row r="91" spans="1:11">
      <c r="A91" s="20" t="s">
        <v>547</v>
      </c>
      <c r="B91" s="31" t="s">
        <v>420</v>
      </c>
      <c r="C91" s="20" t="s">
        <v>463</v>
      </c>
      <c r="D91" s="20" t="s">
        <v>398</v>
      </c>
      <c r="E91" s="20" t="s">
        <v>399</v>
      </c>
      <c r="F91" s="20">
        <v>863</v>
      </c>
      <c r="G91" s="21">
        <v>1</v>
      </c>
      <c r="H91" s="20">
        <v>0</v>
      </c>
      <c r="I91" s="20">
        <v>96.94</v>
      </c>
      <c r="J91" s="20">
        <v>425</v>
      </c>
      <c r="K91" s="20" t="str">
        <f>HYPERLINK("https://www.ncbi.nlm.nih.gov/protein/WP_270239763.1?report=genbank&amp;log$=prottop&amp;blast_rank=13&amp;RID=ATFAS5CP016","WP_270239763.1")</f>
        <v>WP_270239763.1</v>
      </c>
    </row>
    <row r="92" spans="1:11">
      <c r="A92" s="20" t="s">
        <v>548</v>
      </c>
      <c r="B92" s="31" t="s">
        <v>420</v>
      </c>
      <c r="C92" s="20" t="s">
        <v>463</v>
      </c>
      <c r="D92" s="20" t="s">
        <v>549</v>
      </c>
      <c r="E92" s="20" t="s">
        <v>399</v>
      </c>
      <c r="F92" s="20">
        <v>763</v>
      </c>
      <c r="G92" s="21">
        <v>0.99</v>
      </c>
      <c r="H92" s="20">
        <v>0</v>
      </c>
      <c r="I92" s="20">
        <v>85.48</v>
      </c>
      <c r="J92" s="20">
        <v>428</v>
      </c>
      <c r="K92" s="20" t="str">
        <f>HYPERLINK("https://www.ncbi.nlm.nih.gov/protein/MBY4798126.1?report=genbank&amp;log$=prottop&amp;blast_rank=101&amp;RID=ATFAS5CP016","MBY4798126.1")</f>
        <v>MBY4798126.1</v>
      </c>
    </row>
    <row r="93" spans="1:11">
      <c r="A93" s="20" t="s">
        <v>550</v>
      </c>
      <c r="B93" s="31" t="s">
        <v>420</v>
      </c>
      <c r="C93" s="20" t="s">
        <v>463</v>
      </c>
      <c r="D93" s="20" t="s">
        <v>551</v>
      </c>
      <c r="E93" s="20" t="s">
        <v>425</v>
      </c>
      <c r="F93" s="20">
        <v>815</v>
      </c>
      <c r="G93" s="21">
        <v>0.99</v>
      </c>
      <c r="H93" s="20">
        <v>0</v>
      </c>
      <c r="I93" s="20">
        <v>90.61</v>
      </c>
      <c r="J93" s="20">
        <v>427</v>
      </c>
      <c r="K93" s="20" t="str">
        <f>HYPERLINK("https://www.ncbi.nlm.nih.gov/protein/WP_085830651.1?report=genbank&amp;log$=prottop&amp;blast_rank=89&amp;RID=ATFAS5CP016","WP_085830651.1")</f>
        <v>WP_085830651.1</v>
      </c>
    </row>
    <row r="94" spans="1:11">
      <c r="A94" s="20" t="s">
        <v>552</v>
      </c>
      <c r="B94" s="31" t="s">
        <v>420</v>
      </c>
      <c r="C94" s="20" t="s">
        <v>463</v>
      </c>
      <c r="D94" s="20" t="s">
        <v>398</v>
      </c>
      <c r="E94" s="20" t="s">
        <v>399</v>
      </c>
      <c r="F94" s="20">
        <v>852</v>
      </c>
      <c r="G94" s="21">
        <v>1</v>
      </c>
      <c r="H94" s="20">
        <v>0</v>
      </c>
      <c r="I94" s="20">
        <v>95.29</v>
      </c>
      <c r="J94" s="20">
        <v>425</v>
      </c>
      <c r="K94" s="20" t="str">
        <f>HYPERLINK("https://www.ncbi.nlm.nih.gov/protein/MBE6468447.1?report=genbank&amp;log$=prottop&amp;blast_rank=18&amp;RID=ATFAS5CP016","MBE6468447.1")</f>
        <v>MBE6468447.1</v>
      </c>
    </row>
    <row r="95" spans="1:11">
      <c r="A95" s="20" t="s">
        <v>553</v>
      </c>
      <c r="B95" s="31" t="s">
        <v>420</v>
      </c>
      <c r="C95" s="20" t="s">
        <v>463</v>
      </c>
      <c r="D95" s="20" t="s">
        <v>398</v>
      </c>
      <c r="E95" s="20" t="s">
        <v>399</v>
      </c>
      <c r="F95" s="20">
        <v>585</v>
      </c>
      <c r="G95" s="21">
        <v>0.97</v>
      </c>
      <c r="H95" s="20">
        <v>0</v>
      </c>
      <c r="I95" s="20">
        <v>69.3</v>
      </c>
      <c r="J95" s="20">
        <v>417</v>
      </c>
      <c r="K95" s="20" t="str">
        <f>HYPERLINK("https://www.ncbi.nlm.nih.gov/protein/PWM34891.1?report=genbank&amp;log$=prottop&amp;blast_rank=149&amp;RID=ATFAS5CP016","PWM34891.1")</f>
        <v>PWM34891.1</v>
      </c>
    </row>
    <row r="96" spans="1:11">
      <c r="A96" s="20" t="s">
        <v>554</v>
      </c>
      <c r="B96" s="31" t="s">
        <v>555</v>
      </c>
      <c r="C96" s="20" t="s">
        <v>556</v>
      </c>
      <c r="D96" s="20" t="s">
        <v>557</v>
      </c>
      <c r="E96" s="20" t="s">
        <v>408</v>
      </c>
      <c r="F96" s="20">
        <v>462</v>
      </c>
      <c r="G96" s="21">
        <v>0.96</v>
      </c>
      <c r="H96" s="22">
        <v>4.9999999999999997E-158</v>
      </c>
      <c r="I96" s="20">
        <v>56.31</v>
      </c>
      <c r="J96" s="20">
        <v>416</v>
      </c>
      <c r="K96" s="20" t="str">
        <f>HYPERLINK("https://www.ncbi.nlm.nih.gov/protein/MDD3601385.1?report=genbank&amp;log$=prottop&amp;blast_rank=349&amp;RID=ATFAS5CP016","MDD3601385.1")</f>
        <v>MDD3601385.1</v>
      </c>
    </row>
    <row r="97" spans="1:11">
      <c r="A97" s="20" t="s">
        <v>558</v>
      </c>
      <c r="B97" s="31" t="s">
        <v>559</v>
      </c>
      <c r="C97" s="20" t="s">
        <v>560</v>
      </c>
      <c r="D97" s="20" t="s">
        <v>561</v>
      </c>
      <c r="E97" s="20" t="s">
        <v>399</v>
      </c>
      <c r="F97" s="20">
        <v>507</v>
      </c>
      <c r="G97" s="21">
        <v>0.96</v>
      </c>
      <c r="H97" s="22">
        <v>1E-175</v>
      </c>
      <c r="I97" s="20">
        <v>59.22</v>
      </c>
      <c r="J97" s="20">
        <v>414</v>
      </c>
      <c r="K97" s="20" t="str">
        <f>HYPERLINK("https://www.ncbi.nlm.nih.gov/protein/UQZ88881.1?report=genbank&amp;log$=prottop&amp;blast_rank=209&amp;RID=ATFAS5CP016","UQZ88881.1")</f>
        <v>UQZ88881.1</v>
      </c>
    </row>
    <row r="98" spans="1:11">
      <c r="A98" s="20" t="s">
        <v>562</v>
      </c>
      <c r="B98" s="31" t="s">
        <v>396</v>
      </c>
      <c r="C98" s="20" t="s">
        <v>563</v>
      </c>
      <c r="D98" s="20" t="s">
        <v>503</v>
      </c>
      <c r="E98" s="20"/>
      <c r="F98" s="20">
        <v>418</v>
      </c>
      <c r="G98" s="21">
        <v>0.96</v>
      </c>
      <c r="H98" s="22">
        <v>9.9999999999999998E-141</v>
      </c>
      <c r="I98" s="20">
        <v>50.73</v>
      </c>
      <c r="J98" s="20">
        <v>415</v>
      </c>
      <c r="K98" s="20" t="str">
        <f>HYPERLINK("https://www.ncbi.nlm.nih.gov/protein/WP_135379930.1?report=genbank&amp;log$=prottop&amp;blast_rank=422&amp;RID=ATFAS5CP016","WP_135379930.1")</f>
        <v>WP_135379930.1</v>
      </c>
    </row>
    <row r="99" spans="1:11">
      <c r="A99" s="20" t="s">
        <v>564</v>
      </c>
      <c r="B99" s="31" t="s">
        <v>396</v>
      </c>
      <c r="C99" s="20" t="s">
        <v>413</v>
      </c>
      <c r="D99" s="20" t="s">
        <v>398</v>
      </c>
      <c r="E99" s="20" t="s">
        <v>399</v>
      </c>
      <c r="F99" s="20">
        <v>494</v>
      </c>
      <c r="G99" s="21">
        <v>0.96</v>
      </c>
      <c r="H99" s="22">
        <v>2E-170</v>
      </c>
      <c r="I99" s="20">
        <v>58.88</v>
      </c>
      <c r="J99" s="20">
        <v>413</v>
      </c>
      <c r="K99" s="20" t="str">
        <f>HYPERLINK("https://www.ncbi.nlm.nih.gov/protein/WP_022937863.1?report=genbank&amp;log$=prottop&amp;blast_rank=266&amp;RID=ATFAS5CP016","WP_022937863.1")</f>
        <v>WP_022937863.1</v>
      </c>
    </row>
    <row r="100" spans="1:11">
      <c r="A100" s="20" t="s">
        <v>565</v>
      </c>
      <c r="B100" s="31" t="s">
        <v>420</v>
      </c>
      <c r="C100" s="20" t="s">
        <v>463</v>
      </c>
      <c r="D100" s="20" t="s">
        <v>566</v>
      </c>
      <c r="E100" s="20" t="s">
        <v>425</v>
      </c>
      <c r="F100" s="20">
        <v>785</v>
      </c>
      <c r="G100" s="21">
        <v>0.99</v>
      </c>
      <c r="H100" s="20">
        <v>0</v>
      </c>
      <c r="I100" s="20">
        <v>86.85</v>
      </c>
      <c r="J100" s="20">
        <v>427</v>
      </c>
      <c r="K100" s="20" t="str">
        <f>HYPERLINK("https://www.ncbi.nlm.nih.gov/protein/WP_204673205.1?report=genbank&amp;log$=prottop&amp;blast_rank=95&amp;RID=ATFAS5CP016","WP_204673205.1")</f>
        <v>WP_204673205.1</v>
      </c>
    </row>
    <row r="101" spans="1:11">
      <c r="A101" s="20" t="s">
        <v>567</v>
      </c>
      <c r="B101" s="31" t="s">
        <v>396</v>
      </c>
      <c r="C101" s="20" t="s">
        <v>446</v>
      </c>
      <c r="D101" s="20" t="s">
        <v>568</v>
      </c>
      <c r="E101" s="20" t="s">
        <v>425</v>
      </c>
      <c r="F101" s="20">
        <v>490</v>
      </c>
      <c r="G101" s="21">
        <v>0.95</v>
      </c>
      <c r="H101" s="22">
        <v>5.9999999999999998E-169</v>
      </c>
      <c r="I101" s="20">
        <v>58.33</v>
      </c>
      <c r="J101" s="20">
        <v>413</v>
      </c>
      <c r="K101" s="20" t="str">
        <f>HYPERLINK("https://www.ncbi.nlm.nih.gov/protein/WP_117557731.1?report=genbank&amp;log$=prottop&amp;blast_rank=276&amp;RID=ATFAS5CP016","WP_117557731.1")</f>
        <v>WP_117557731.1</v>
      </c>
    </row>
    <row r="102" spans="1:11">
      <c r="A102" s="20" t="s">
        <v>569</v>
      </c>
      <c r="B102" s="31" t="s">
        <v>396</v>
      </c>
      <c r="C102" s="20" t="s">
        <v>446</v>
      </c>
      <c r="D102" s="20" t="s">
        <v>568</v>
      </c>
      <c r="E102" s="20" t="s">
        <v>425</v>
      </c>
      <c r="F102" s="20">
        <v>496</v>
      </c>
      <c r="G102" s="21">
        <v>0.95</v>
      </c>
      <c r="H102" s="22">
        <v>2E-171</v>
      </c>
      <c r="I102" s="20">
        <v>59.66</v>
      </c>
      <c r="J102" s="20">
        <v>413</v>
      </c>
      <c r="K102" s="20" t="str">
        <f>HYPERLINK("https://www.ncbi.nlm.nih.gov/protein/WP_083425160.1?report=genbank&amp;log$=prottop&amp;blast_rank=261&amp;RID=ATFAS5CP016","WP_083425160.1")</f>
        <v>WP_083425160.1</v>
      </c>
    </row>
    <row r="103" spans="1:11">
      <c r="A103" s="20" t="s">
        <v>570</v>
      </c>
      <c r="B103" s="31" t="s">
        <v>396</v>
      </c>
      <c r="C103" s="20" t="s">
        <v>446</v>
      </c>
      <c r="D103" s="20" t="s">
        <v>398</v>
      </c>
      <c r="E103" s="20" t="s">
        <v>399</v>
      </c>
      <c r="F103" s="20">
        <v>512</v>
      </c>
      <c r="G103" s="21">
        <v>0.96</v>
      </c>
      <c r="H103" s="22">
        <v>9.9999999999999995E-178</v>
      </c>
      <c r="I103" s="20">
        <v>60.44</v>
      </c>
      <c r="J103" s="20">
        <v>413</v>
      </c>
      <c r="K103" s="20" t="str">
        <f>HYPERLINK("https://www.ncbi.nlm.nih.gov/protein/WP_002585925.1?report=genbank&amp;log$=prottop&amp;blast_rank=200&amp;RID=ATFAS5CP016","WP_002585925.1")</f>
        <v>WP_002585925.1</v>
      </c>
    </row>
    <row r="104" spans="1:11">
      <c r="A104" s="20" t="s">
        <v>571</v>
      </c>
      <c r="B104" s="31" t="s">
        <v>396</v>
      </c>
      <c r="C104" s="20" t="s">
        <v>572</v>
      </c>
      <c r="D104" s="20" t="s">
        <v>573</v>
      </c>
      <c r="E104" s="20" t="s">
        <v>399</v>
      </c>
      <c r="F104" s="20">
        <v>488</v>
      </c>
      <c r="G104" s="21">
        <v>0.96</v>
      </c>
      <c r="H104" s="22">
        <v>5.9999999999999998E-168</v>
      </c>
      <c r="I104" s="20">
        <v>58.35</v>
      </c>
      <c r="J104" s="20">
        <v>413</v>
      </c>
      <c r="K104" s="20" t="str">
        <f>HYPERLINK("https://www.ncbi.nlm.nih.gov/protein/MCD7961861.1?report=genbank&amp;log$=prottop&amp;blast_rank=284&amp;RID=ATFAS5CP016","MCD7961861.1")</f>
        <v>MCD7961861.1</v>
      </c>
    </row>
    <row r="105" spans="1:11">
      <c r="A105" s="20" t="s">
        <v>574</v>
      </c>
      <c r="B105" s="31" t="s">
        <v>396</v>
      </c>
      <c r="C105" s="20" t="s">
        <v>413</v>
      </c>
      <c r="D105" s="20" t="s">
        <v>575</v>
      </c>
      <c r="E105" s="20" t="s">
        <v>399</v>
      </c>
      <c r="F105" s="20">
        <v>513</v>
      </c>
      <c r="G105" s="21">
        <v>0.96</v>
      </c>
      <c r="H105" s="22">
        <v>4.9999999999999998E-178</v>
      </c>
      <c r="I105" s="20">
        <v>60.83</v>
      </c>
      <c r="J105" s="20">
        <v>413</v>
      </c>
      <c r="K105" s="20" t="str">
        <f>HYPERLINK("https://www.ncbi.nlm.nih.gov/protein/MCI5773468.1?report=genbank&amp;log$=prottop&amp;blast_rank=198&amp;RID=ATFAS5CP016","MCI5773468.1")</f>
        <v>MCI5773468.1</v>
      </c>
    </row>
    <row r="106" spans="1:11">
      <c r="A106" s="20" t="s">
        <v>576</v>
      </c>
      <c r="B106" s="31" t="s">
        <v>396</v>
      </c>
      <c r="C106" s="20" t="s">
        <v>465</v>
      </c>
      <c r="D106" s="20" t="s">
        <v>575</v>
      </c>
      <c r="E106" s="20" t="s">
        <v>399</v>
      </c>
      <c r="F106" s="20">
        <v>516</v>
      </c>
      <c r="G106" s="21">
        <v>0.96</v>
      </c>
      <c r="H106" s="22">
        <v>4.9999999999999998E-179</v>
      </c>
      <c r="I106" s="20">
        <v>61.02</v>
      </c>
      <c r="J106" s="20">
        <v>414</v>
      </c>
      <c r="K106" s="20" t="str">
        <f>HYPERLINK("https://www.ncbi.nlm.nih.gov/protein/MCI5998671.1?report=genbank&amp;log$=prottop&amp;blast_rank=194&amp;RID=ATFAS5CP016","MCI5998671.1")</f>
        <v>MCI5998671.1</v>
      </c>
    </row>
    <row r="107" spans="1:11">
      <c r="A107" s="20" t="s">
        <v>577</v>
      </c>
      <c r="B107" s="31" t="s">
        <v>396</v>
      </c>
      <c r="C107" s="20" t="s">
        <v>578</v>
      </c>
      <c r="D107" s="20" t="s">
        <v>575</v>
      </c>
      <c r="E107" s="20" t="s">
        <v>399</v>
      </c>
      <c r="F107" s="20">
        <v>518</v>
      </c>
      <c r="G107" s="21">
        <v>0.96</v>
      </c>
      <c r="H107" s="22">
        <v>1E-179</v>
      </c>
      <c r="I107" s="20">
        <v>61.02</v>
      </c>
      <c r="J107" s="20">
        <v>414</v>
      </c>
      <c r="K107" s="20" t="str">
        <f>HYPERLINK("https://www.ncbi.nlm.nih.gov/protein/MDD6477906.1?report=genbank&amp;log$=prottop&amp;blast_rank=191&amp;RID=ATFAS5CP016","MDD6477906.1")</f>
        <v>MDD6477906.1</v>
      </c>
    </row>
    <row r="108" spans="1:11">
      <c r="A108" s="20" t="s">
        <v>579</v>
      </c>
      <c r="B108" s="31" t="s">
        <v>420</v>
      </c>
      <c r="C108" s="20" t="s">
        <v>456</v>
      </c>
      <c r="D108" s="20" t="s">
        <v>580</v>
      </c>
      <c r="E108" s="20" t="s">
        <v>425</v>
      </c>
      <c r="F108" s="20">
        <v>584</v>
      </c>
      <c r="G108" s="21">
        <v>0.97</v>
      </c>
      <c r="H108" s="20">
        <v>0</v>
      </c>
      <c r="I108" s="20">
        <v>66.91</v>
      </c>
      <c r="J108" s="20">
        <v>415</v>
      </c>
      <c r="K108" s="20" t="str">
        <f>HYPERLINK("https://www.ncbi.nlm.nih.gov/protein/EFL43943.1?report=genbank&amp;log$=prottop&amp;blast_rank=150&amp;RID=ATFAS5CP016","EFL43943.1")</f>
        <v>EFL43943.1</v>
      </c>
    </row>
    <row r="109" spans="1:11">
      <c r="A109" s="20" t="s">
        <v>581</v>
      </c>
      <c r="B109" s="31" t="s">
        <v>396</v>
      </c>
      <c r="C109" s="20" t="s">
        <v>467</v>
      </c>
      <c r="D109" s="20" t="s">
        <v>582</v>
      </c>
      <c r="E109" s="20" t="s">
        <v>583</v>
      </c>
      <c r="F109" s="20">
        <v>467</v>
      </c>
      <c r="G109" s="21">
        <v>0.95</v>
      </c>
      <c r="H109" s="22">
        <v>7.0000000000000006E-160</v>
      </c>
      <c r="I109" s="20">
        <v>55.99</v>
      </c>
      <c r="J109" s="20">
        <v>414</v>
      </c>
      <c r="K109" s="20" t="str">
        <f>HYPERLINK("https://www.ncbi.nlm.nih.gov/protein/WP_106012442.1?report=genbank&amp;log$=prottop&amp;blast_rank=332&amp;RID=ATFAS5CP016","WP_106012442.1")</f>
        <v>WP_106012442.1</v>
      </c>
    </row>
    <row r="110" spans="1:11">
      <c r="A110" s="20" t="s">
        <v>584</v>
      </c>
      <c r="B110" s="31" t="s">
        <v>396</v>
      </c>
      <c r="C110" s="20" t="s">
        <v>467</v>
      </c>
      <c r="D110" s="20" t="s">
        <v>398</v>
      </c>
      <c r="E110" s="20" t="s">
        <v>399</v>
      </c>
      <c r="F110" s="20">
        <v>501</v>
      </c>
      <c r="G110" s="21">
        <v>0.96</v>
      </c>
      <c r="H110" s="22">
        <v>4.0000000000000002E-173</v>
      </c>
      <c r="I110" s="20">
        <v>60.58</v>
      </c>
      <c r="J110" s="20">
        <v>413</v>
      </c>
      <c r="K110" s="20" t="str">
        <f>HYPERLINK("https://www.ncbi.nlm.nih.gov/protein/WP_058963194.1?report=genbank&amp;log$=prottop&amp;blast_rank=230&amp;RID=ATFAS5CP016","WP_058963194.1")</f>
        <v>WP_058963194.1</v>
      </c>
    </row>
    <row r="111" spans="1:11">
      <c r="A111" s="20" t="s">
        <v>585</v>
      </c>
      <c r="B111" s="31" t="s">
        <v>396</v>
      </c>
      <c r="C111" s="20" t="s">
        <v>467</v>
      </c>
      <c r="D111" s="20" t="s">
        <v>586</v>
      </c>
      <c r="E111" s="20" t="s">
        <v>399</v>
      </c>
      <c r="F111" s="20">
        <v>497</v>
      </c>
      <c r="G111" s="21">
        <v>0.96</v>
      </c>
      <c r="H111" s="22">
        <v>9.9999999999999998E-172</v>
      </c>
      <c r="I111" s="20">
        <v>60.1</v>
      </c>
      <c r="J111" s="20">
        <v>413</v>
      </c>
      <c r="K111" s="20" t="str">
        <f>HYPERLINK("https://www.ncbi.nlm.nih.gov/protein/WP_270912988.1?report=genbank&amp;log$=prottop&amp;blast_rank=258&amp;RID=ATFAS5CP016","WP_270912988.1")</f>
        <v>WP_270912988.1</v>
      </c>
    </row>
    <row r="112" spans="1:11">
      <c r="A112" s="20" t="s">
        <v>587</v>
      </c>
      <c r="B112" s="31" t="s">
        <v>588</v>
      </c>
      <c r="C112" s="20" t="s">
        <v>589</v>
      </c>
      <c r="D112" s="20" t="s">
        <v>503</v>
      </c>
      <c r="E112" s="20"/>
      <c r="F112" s="20">
        <v>490</v>
      </c>
      <c r="G112" s="21">
        <v>0.96</v>
      </c>
      <c r="H112" s="22">
        <v>8.0000000000000002E-169</v>
      </c>
      <c r="I112" s="20">
        <v>58.15</v>
      </c>
      <c r="J112" s="20">
        <v>417</v>
      </c>
      <c r="K112" s="20" t="str">
        <f>HYPERLINK("https://www.ncbi.nlm.nih.gov/protein/WP_124888913.1?report=genbank&amp;log$=prottop&amp;blast_rank=277&amp;RID=ATFAS5CP016","WP_124888913.1")</f>
        <v>WP_124888913.1</v>
      </c>
    </row>
    <row r="113" spans="1:11">
      <c r="A113" s="20" t="s">
        <v>590</v>
      </c>
      <c r="B113" s="31" t="s">
        <v>396</v>
      </c>
      <c r="C113" s="20" t="s">
        <v>591</v>
      </c>
      <c r="D113" s="20" t="s">
        <v>503</v>
      </c>
      <c r="E113" s="20"/>
      <c r="F113" s="20">
        <v>471</v>
      </c>
      <c r="G113" s="21">
        <v>0.96</v>
      </c>
      <c r="H113" s="22">
        <v>2.0000000000000001E-161</v>
      </c>
      <c r="I113" s="20">
        <v>54.26</v>
      </c>
      <c r="J113" s="20">
        <v>419</v>
      </c>
      <c r="K113" s="20" t="str">
        <f>HYPERLINK("https://www.ncbi.nlm.nih.gov/protein/HHX68059.1?report=genbank&amp;log$=prottop&amp;blast_rank=313&amp;RID=ATFAS5CP016","HHX68059.1")</f>
        <v>HHX68059.1</v>
      </c>
    </row>
    <row r="114" spans="1:11">
      <c r="A114" s="20" t="s">
        <v>592</v>
      </c>
      <c r="B114" s="31" t="s">
        <v>396</v>
      </c>
      <c r="C114" s="20" t="s">
        <v>469</v>
      </c>
      <c r="D114" s="20" t="s">
        <v>538</v>
      </c>
      <c r="E114" s="20" t="s">
        <v>399</v>
      </c>
      <c r="F114" s="20">
        <v>502</v>
      </c>
      <c r="G114" s="21">
        <v>0.96</v>
      </c>
      <c r="H114" s="22">
        <v>2.0000000000000001E-173</v>
      </c>
      <c r="I114" s="20">
        <v>60.58</v>
      </c>
      <c r="J114" s="20">
        <v>413</v>
      </c>
      <c r="K114" s="20" t="str">
        <f>HYPERLINK("https://www.ncbi.nlm.nih.gov/protein/WP_087181666.1?report=genbank&amp;log$=prottop&amp;blast_rank=225&amp;RID=ATFAS5CP016","WP_087181666.1")</f>
        <v>WP_087181666.1</v>
      </c>
    </row>
    <row r="115" spans="1:11">
      <c r="A115" s="20" t="s">
        <v>593</v>
      </c>
      <c r="B115" s="31" t="s">
        <v>420</v>
      </c>
      <c r="C115" s="20" t="s">
        <v>456</v>
      </c>
      <c r="D115" s="20" t="s">
        <v>594</v>
      </c>
      <c r="E115" s="20" t="s">
        <v>425</v>
      </c>
      <c r="F115" s="20">
        <v>453</v>
      </c>
      <c r="G115" s="21">
        <v>0.95</v>
      </c>
      <c r="H115" s="22">
        <v>3.0000000000000002E-154</v>
      </c>
      <c r="I115" s="20">
        <v>55.75</v>
      </c>
      <c r="J115" s="20">
        <v>417</v>
      </c>
      <c r="K115" s="20" t="str">
        <f>HYPERLINK("https://www.ncbi.nlm.nih.gov/protein/WP_102216989.1?report=genbank&amp;log$=prottop&amp;blast_rank=375&amp;RID=ATFAS5CP016","WP_102216989.1")</f>
        <v>WP_102216989.1</v>
      </c>
    </row>
    <row r="116" spans="1:11">
      <c r="A116" s="20" t="s">
        <v>595</v>
      </c>
      <c r="B116" s="31" t="s">
        <v>396</v>
      </c>
      <c r="C116" s="20" t="s">
        <v>397</v>
      </c>
      <c r="D116" s="20" t="s">
        <v>596</v>
      </c>
      <c r="E116" s="20" t="s">
        <v>408</v>
      </c>
      <c r="F116" s="20">
        <v>474</v>
      </c>
      <c r="G116" s="21">
        <v>0.96</v>
      </c>
      <c r="H116" s="22">
        <v>9.9999999999999995E-163</v>
      </c>
      <c r="I116" s="20">
        <v>57.66</v>
      </c>
      <c r="J116" s="20">
        <v>413</v>
      </c>
      <c r="K116" s="20" t="str">
        <f>HYPERLINK("https://www.ncbi.nlm.nih.gov/protein/WP_138207124.1?report=genbank&amp;log$=prottop&amp;blast_rank=305&amp;RID=ATFAS5CP016","WP_138207124.1")</f>
        <v>WP_138207124.1</v>
      </c>
    </row>
    <row r="117" spans="1:11">
      <c r="A117" s="20" t="s">
        <v>597</v>
      </c>
      <c r="B117" s="31" t="s">
        <v>396</v>
      </c>
      <c r="C117" s="20" t="s">
        <v>397</v>
      </c>
      <c r="D117" s="20" t="s">
        <v>398</v>
      </c>
      <c r="E117" s="20" t="s">
        <v>399</v>
      </c>
      <c r="F117" s="20">
        <v>467</v>
      </c>
      <c r="G117" s="21">
        <v>0.96</v>
      </c>
      <c r="H117" s="22">
        <v>7.9999999999999999E-160</v>
      </c>
      <c r="I117" s="20">
        <v>56.45</v>
      </c>
      <c r="J117" s="20">
        <v>413</v>
      </c>
      <c r="K117" s="20" t="str">
        <f>HYPERLINK("https://www.ncbi.nlm.nih.gov/protein/WP_102398823.1?report=genbank&amp;log$=prottop&amp;blast_rank=333&amp;RID=ATFAS5CP016","WP_102398823.1")</f>
        <v>WP_102398823.1</v>
      </c>
    </row>
    <row r="118" spans="1:11">
      <c r="A118" s="20" t="s">
        <v>598</v>
      </c>
      <c r="B118" s="31" t="s">
        <v>396</v>
      </c>
      <c r="C118" s="20" t="s">
        <v>397</v>
      </c>
      <c r="D118" s="20" t="s">
        <v>398</v>
      </c>
      <c r="E118" s="20" t="s">
        <v>399</v>
      </c>
      <c r="F118" s="20">
        <v>452</v>
      </c>
      <c r="G118" s="21">
        <v>0.96</v>
      </c>
      <c r="H118" s="22">
        <v>7.9999999999999998E-154</v>
      </c>
      <c r="I118" s="20">
        <v>54.01</v>
      </c>
      <c r="J118" s="20">
        <v>413</v>
      </c>
      <c r="K118" s="20" t="str">
        <f>HYPERLINK("https://www.ncbi.nlm.nih.gov/protein/WP_142415349.1?report=genbank&amp;log$=prottop&amp;blast_rank=377&amp;RID=ATFAS5CP016","WP_142415349.1")</f>
        <v>WP_142415349.1</v>
      </c>
    </row>
    <row r="119" spans="1:11">
      <c r="A119" s="20" t="s">
        <v>599</v>
      </c>
      <c r="B119" s="31" t="s">
        <v>396</v>
      </c>
      <c r="C119" s="20" t="s">
        <v>406</v>
      </c>
      <c r="D119" s="20" t="s">
        <v>398</v>
      </c>
      <c r="E119" s="20" t="s">
        <v>399</v>
      </c>
      <c r="F119" s="20">
        <v>444</v>
      </c>
      <c r="G119" s="21">
        <v>0.96</v>
      </c>
      <c r="H119" s="22">
        <v>5E-151</v>
      </c>
      <c r="I119" s="20">
        <v>53.53</v>
      </c>
      <c r="J119" s="20">
        <v>410</v>
      </c>
      <c r="K119" s="20" t="str">
        <f>HYPERLINK("https://www.ncbi.nlm.nih.gov/protein/WP_269477071.1?report=genbank&amp;log$=prottop&amp;blast_rank=398&amp;RID=ATFAS5CP016","WP_269477071.1")</f>
        <v>WP_269477071.1</v>
      </c>
    </row>
    <row r="120" spans="1:11">
      <c r="A120" s="20" t="s">
        <v>600</v>
      </c>
      <c r="B120" s="31" t="s">
        <v>396</v>
      </c>
      <c r="C120" s="20" t="s">
        <v>397</v>
      </c>
      <c r="D120" s="20" t="s">
        <v>601</v>
      </c>
      <c r="E120" s="20" t="s">
        <v>408</v>
      </c>
      <c r="F120" s="20">
        <v>496</v>
      </c>
      <c r="G120" s="21">
        <v>0.96</v>
      </c>
      <c r="H120" s="22">
        <v>5.9999999999999999E-171</v>
      </c>
      <c r="I120" s="20">
        <v>58.25</v>
      </c>
      <c r="J120" s="20">
        <v>418</v>
      </c>
      <c r="K120" s="20" t="str">
        <f>HYPERLINK("https://www.ncbi.nlm.nih.gov/protein/WP_270814812.1?report=genbank&amp;log$=prottop&amp;blast_rank=262&amp;RID=ATFAS5CP016","WP_270814812.1")</f>
        <v>WP_270814812.1</v>
      </c>
    </row>
    <row r="121" spans="1:11">
      <c r="A121" s="20" t="s">
        <v>602</v>
      </c>
      <c r="B121" s="31" t="s">
        <v>396</v>
      </c>
      <c r="C121" s="20" t="s">
        <v>397</v>
      </c>
      <c r="D121" s="20" t="s">
        <v>398</v>
      </c>
      <c r="E121" s="20" t="s">
        <v>399</v>
      </c>
      <c r="F121" s="20">
        <v>503</v>
      </c>
      <c r="G121" s="21">
        <v>0.96</v>
      </c>
      <c r="H121" s="22">
        <v>8.9999999999999993E-174</v>
      </c>
      <c r="I121" s="20">
        <v>60.19</v>
      </c>
      <c r="J121" s="20">
        <v>413</v>
      </c>
      <c r="K121" s="20" t="str">
        <f>HYPERLINK("https://www.ncbi.nlm.nih.gov/protein/MBS5062432.1?report=genbank&amp;log$=prottop&amp;blast_rank=221&amp;RID=ATFAS5CP016","MBS5062432.1")</f>
        <v>MBS5062432.1</v>
      </c>
    </row>
    <row r="122" spans="1:11">
      <c r="A122" s="20" t="s">
        <v>603</v>
      </c>
      <c r="B122" s="31" t="s">
        <v>396</v>
      </c>
      <c r="C122" s="20" t="s">
        <v>397</v>
      </c>
      <c r="D122" s="20" t="s">
        <v>398</v>
      </c>
      <c r="E122" s="20" t="s">
        <v>399</v>
      </c>
      <c r="F122" s="20">
        <v>455</v>
      </c>
      <c r="G122" s="21">
        <v>0.96</v>
      </c>
      <c r="H122" s="22">
        <v>4.0000000000000001E-155</v>
      </c>
      <c r="I122" s="20">
        <v>54.99</v>
      </c>
      <c r="J122" s="20">
        <v>413</v>
      </c>
      <c r="K122" s="20" t="str">
        <f>HYPERLINK("https://www.ncbi.nlm.nih.gov/protein/WP_053956081.1?report=genbank&amp;log$=prottop&amp;blast_rank=369&amp;RID=ATFAS5CP016","WP_053956081.1")</f>
        <v>WP_053956081.1</v>
      </c>
    </row>
    <row r="123" spans="1:11">
      <c r="A123" s="20" t="s">
        <v>604</v>
      </c>
      <c r="B123" s="31" t="s">
        <v>396</v>
      </c>
      <c r="C123" s="20" t="s">
        <v>605</v>
      </c>
      <c r="D123" s="20" t="s">
        <v>606</v>
      </c>
      <c r="E123" s="20" t="s">
        <v>411</v>
      </c>
      <c r="F123" s="20">
        <v>460</v>
      </c>
      <c r="G123" s="21">
        <v>0.96</v>
      </c>
      <c r="H123" s="22">
        <v>6E-157</v>
      </c>
      <c r="I123" s="20">
        <v>54.99</v>
      </c>
      <c r="J123" s="20">
        <v>412</v>
      </c>
      <c r="K123" s="20" t="str">
        <f>HYPERLINK("https://www.ncbi.nlm.nih.gov/protein/WP_132028732.1?report=genbank&amp;log$=prottop&amp;blast_rank=355&amp;RID=ATFAS5CP016","WP_132028732.1")</f>
        <v>WP_132028732.1</v>
      </c>
    </row>
    <row r="124" spans="1:11">
      <c r="A124" s="20" t="s">
        <v>607</v>
      </c>
      <c r="B124" s="31" t="s">
        <v>396</v>
      </c>
      <c r="C124" s="20" t="s">
        <v>446</v>
      </c>
      <c r="D124" s="20" t="s">
        <v>608</v>
      </c>
      <c r="E124" s="20" t="s">
        <v>399</v>
      </c>
      <c r="F124" s="20">
        <v>495</v>
      </c>
      <c r="G124" s="21">
        <v>0.96</v>
      </c>
      <c r="H124" s="22">
        <v>7.9999999999999999E-171</v>
      </c>
      <c r="I124" s="20">
        <v>58.98</v>
      </c>
      <c r="J124" s="20">
        <v>418</v>
      </c>
      <c r="K124" s="20" t="str">
        <f>HYPERLINK("https://www.ncbi.nlm.nih.gov/protein/MBR0039164.1?report=genbank&amp;log$=prottop&amp;blast_rank=263&amp;RID=ATFAS5CP016","MBR0039164.1")</f>
        <v>MBR0039164.1</v>
      </c>
    </row>
    <row r="125" spans="1:11">
      <c r="A125" s="20" t="s">
        <v>609</v>
      </c>
      <c r="B125" s="31" t="s">
        <v>420</v>
      </c>
      <c r="C125" s="20" t="s">
        <v>421</v>
      </c>
      <c r="D125" s="20" t="s">
        <v>610</v>
      </c>
      <c r="E125" s="20" t="s">
        <v>399</v>
      </c>
      <c r="F125" s="20">
        <v>605</v>
      </c>
      <c r="G125" s="21">
        <v>0.97</v>
      </c>
      <c r="H125" s="20">
        <v>0</v>
      </c>
      <c r="I125" s="20">
        <v>71.39</v>
      </c>
      <c r="J125" s="20">
        <v>415</v>
      </c>
      <c r="K125" s="20" t="str">
        <f>HYPERLINK("https://www.ncbi.nlm.nih.gov/protein/WP_035431542.1?report=genbank&amp;log$=prottop&amp;blast_rank=127&amp;RID=ATFAS5CP016","WP_035431542.1")</f>
        <v>WP_035431542.1</v>
      </c>
    </row>
    <row r="126" spans="1:11">
      <c r="A126" s="20" t="s">
        <v>611</v>
      </c>
      <c r="B126" s="31" t="s">
        <v>420</v>
      </c>
      <c r="C126" s="20" t="s">
        <v>421</v>
      </c>
      <c r="D126" s="20" t="s">
        <v>610</v>
      </c>
      <c r="E126" s="20" t="s">
        <v>399</v>
      </c>
      <c r="F126" s="20">
        <v>612</v>
      </c>
      <c r="G126" s="21">
        <v>0.97</v>
      </c>
      <c r="H126" s="20">
        <v>0</v>
      </c>
      <c r="I126" s="20">
        <v>71.33</v>
      </c>
      <c r="J126" s="20">
        <v>415</v>
      </c>
      <c r="K126" s="20" t="str">
        <f>HYPERLINK("https://www.ncbi.nlm.nih.gov/protein/MBF4807313.1?report=genbank&amp;log$=prottop&amp;blast_rank=118&amp;RID=ATFAS5CP016","MBF4807313.1")</f>
        <v>MBF4807313.1</v>
      </c>
    </row>
    <row r="127" spans="1:11">
      <c r="A127" s="20" t="s">
        <v>612</v>
      </c>
      <c r="B127" s="31" t="s">
        <v>420</v>
      </c>
      <c r="C127" s="20" t="s">
        <v>421</v>
      </c>
      <c r="D127" s="20" t="s">
        <v>613</v>
      </c>
      <c r="E127" s="20" t="s">
        <v>614</v>
      </c>
      <c r="F127" s="20">
        <v>610</v>
      </c>
      <c r="G127" s="21">
        <v>0.97</v>
      </c>
      <c r="H127" s="20">
        <v>0</v>
      </c>
      <c r="I127" s="20">
        <v>71.08</v>
      </c>
      <c r="J127" s="20">
        <v>415</v>
      </c>
      <c r="K127" s="20" t="str">
        <f>HYPERLINK("https://www.ncbi.nlm.nih.gov/protein/WP_282710340.1?report=genbank&amp;log$=prottop&amp;blast_rank=123&amp;RID=ATFAS5CP016","WP_282710340.1")</f>
        <v>WP_282710340.1</v>
      </c>
    </row>
    <row r="128" spans="1:11">
      <c r="A128" s="20" t="s">
        <v>615</v>
      </c>
      <c r="B128" s="31" t="s">
        <v>396</v>
      </c>
      <c r="C128" s="20" t="s">
        <v>406</v>
      </c>
      <c r="D128" s="20" t="s">
        <v>398</v>
      </c>
      <c r="E128" s="20" t="s">
        <v>399</v>
      </c>
      <c r="F128" s="20">
        <v>518</v>
      </c>
      <c r="G128" s="21">
        <v>0.96</v>
      </c>
      <c r="H128" s="22">
        <v>5.0000000000000001E-180</v>
      </c>
      <c r="I128" s="20">
        <v>60.83</v>
      </c>
      <c r="J128" s="20">
        <v>412</v>
      </c>
      <c r="K128" s="20" t="str">
        <f>HYPERLINK("https://www.ncbi.nlm.nih.gov/protein/WP_177270906.1?report=genbank&amp;log$=prottop&amp;blast_rank=189&amp;RID=ATFAS5CP016","WP_177270906.1")</f>
        <v>WP_177270906.1</v>
      </c>
    </row>
    <row r="129" spans="1:11">
      <c r="A129" s="20" t="s">
        <v>616</v>
      </c>
      <c r="B129" s="31" t="s">
        <v>396</v>
      </c>
      <c r="C129" s="20" t="s">
        <v>591</v>
      </c>
      <c r="D129" s="20" t="s">
        <v>617</v>
      </c>
      <c r="E129" s="20" t="s">
        <v>411</v>
      </c>
      <c r="F129" s="20">
        <v>466</v>
      </c>
      <c r="G129" s="21">
        <v>0.96</v>
      </c>
      <c r="H129" s="22">
        <v>4E-159</v>
      </c>
      <c r="I129" s="20">
        <v>53.28</v>
      </c>
      <c r="J129" s="20">
        <v>419</v>
      </c>
      <c r="K129" s="20" t="str">
        <f>HYPERLINK("https://www.ncbi.nlm.nih.gov/protein/WP_243661081.1?report=genbank&amp;log$=prottop&amp;blast_rank=338&amp;RID=ATFAS5CP016","WP_243661081.1")</f>
        <v>WP_243661081.1</v>
      </c>
    </row>
    <row r="130" spans="1:11">
      <c r="A130" s="20" t="s">
        <v>618</v>
      </c>
      <c r="B130" s="31" t="s">
        <v>396</v>
      </c>
      <c r="C130" s="20" t="s">
        <v>406</v>
      </c>
      <c r="D130" s="20" t="s">
        <v>617</v>
      </c>
      <c r="E130" s="20" t="s">
        <v>411</v>
      </c>
      <c r="F130" s="20">
        <v>478</v>
      </c>
      <c r="G130" s="21">
        <v>0.95</v>
      </c>
      <c r="H130" s="22">
        <v>9.9999999999999992E-164</v>
      </c>
      <c r="I130" s="20">
        <v>56.8</v>
      </c>
      <c r="J130" s="20">
        <v>424</v>
      </c>
      <c r="K130" s="20" t="str">
        <f>HYPERLINK("https://www.ncbi.nlm.nih.gov/protein/MBQ6150974.1?report=genbank&amp;log$=prottop&amp;blast_rank=301&amp;RID=ATFAS5CP016","MBQ6150974.1")</f>
        <v>MBQ6150974.1</v>
      </c>
    </row>
    <row r="131" spans="1:11">
      <c r="A131" s="20" t="s">
        <v>619</v>
      </c>
      <c r="B131" s="31" t="s">
        <v>396</v>
      </c>
      <c r="C131" s="20" t="s">
        <v>397</v>
      </c>
      <c r="D131" s="20" t="s">
        <v>620</v>
      </c>
      <c r="E131" s="20" t="s">
        <v>411</v>
      </c>
      <c r="F131" s="20">
        <v>452</v>
      </c>
      <c r="G131" s="21">
        <v>0.97</v>
      </c>
      <c r="H131" s="22">
        <v>7.9999999999999998E-154</v>
      </c>
      <c r="I131" s="20">
        <v>54.68</v>
      </c>
      <c r="J131" s="20">
        <v>416</v>
      </c>
      <c r="K131" s="20" t="str">
        <f>HYPERLINK("https://www.ncbi.nlm.nih.gov/protein/WP_090552769.1?report=genbank&amp;log$=prottop&amp;blast_rank=376&amp;RID=ATFAS5CP016","WP_090552769.1")</f>
        <v>WP_090552769.1</v>
      </c>
    </row>
    <row r="132" spans="1:11">
      <c r="A132" s="20" t="s">
        <v>621</v>
      </c>
      <c r="B132" s="31" t="s">
        <v>396</v>
      </c>
      <c r="C132" s="20" t="s">
        <v>446</v>
      </c>
      <c r="D132" s="20" t="s">
        <v>622</v>
      </c>
      <c r="E132" s="20" t="s">
        <v>399</v>
      </c>
      <c r="F132" s="20">
        <v>491</v>
      </c>
      <c r="G132" s="21">
        <v>0.95</v>
      </c>
      <c r="H132" s="22">
        <v>4.0000000000000001E-169</v>
      </c>
      <c r="I132" s="20">
        <v>57.95</v>
      </c>
      <c r="J132" s="20">
        <v>413</v>
      </c>
      <c r="K132" s="20" t="str">
        <f>HYPERLINK("https://www.ncbi.nlm.nih.gov/protein/WP_053984525.1?report=genbank&amp;log$=prottop&amp;blast_rank=275&amp;RID=ATFAS5CP016","WP_053984525.1")</f>
        <v>WP_053984525.1</v>
      </c>
    </row>
    <row r="133" spans="1:11">
      <c r="A133" s="20" t="s">
        <v>623</v>
      </c>
      <c r="B133" s="31" t="s">
        <v>555</v>
      </c>
      <c r="C133" s="20" t="s">
        <v>556</v>
      </c>
      <c r="D133" s="20" t="s">
        <v>624</v>
      </c>
      <c r="E133" s="20" t="s">
        <v>411</v>
      </c>
      <c r="F133" s="20">
        <v>443</v>
      </c>
      <c r="G133" s="21">
        <v>0.96</v>
      </c>
      <c r="H133" s="22">
        <v>2E-150</v>
      </c>
      <c r="I133" s="20">
        <v>53.28</v>
      </c>
      <c r="J133" s="20">
        <v>413</v>
      </c>
      <c r="K133" s="20" t="str">
        <f>HYPERLINK("https://www.ncbi.nlm.nih.gov/protein/WP_109604123.1?report=genbank&amp;log$=prottop&amp;blast_rank=401&amp;RID=ATFAS5CP016","WP_109604123.1")</f>
        <v>WP_109604123.1</v>
      </c>
    </row>
    <row r="134" spans="1:11">
      <c r="A134" s="20" t="s">
        <v>625</v>
      </c>
      <c r="B134" s="31" t="s">
        <v>420</v>
      </c>
      <c r="C134" s="20" t="s">
        <v>421</v>
      </c>
      <c r="D134" s="20" t="s">
        <v>626</v>
      </c>
      <c r="E134" s="20" t="s">
        <v>408</v>
      </c>
      <c r="F134" s="20">
        <v>561</v>
      </c>
      <c r="G134" s="21">
        <v>0.95</v>
      </c>
      <c r="H134" s="20">
        <v>0</v>
      </c>
      <c r="I134" s="20">
        <v>66.42</v>
      </c>
      <c r="J134" s="20">
        <v>415</v>
      </c>
      <c r="K134" s="20" t="str">
        <f>HYPERLINK("https://www.ncbi.nlm.nih.gov/protein/MCI2156866.1?report=genbank&amp;log$=prottop&amp;blast_rank=171&amp;RID=ATFAS5CP016","MCI2156866.1")</f>
        <v>MCI2156866.1</v>
      </c>
    </row>
    <row r="135" spans="1:11">
      <c r="A135" s="20" t="s">
        <v>627</v>
      </c>
      <c r="B135" s="31" t="s">
        <v>420</v>
      </c>
      <c r="C135" s="20" t="s">
        <v>421</v>
      </c>
      <c r="D135" s="20" t="s">
        <v>398</v>
      </c>
      <c r="E135" s="20" t="s">
        <v>399</v>
      </c>
      <c r="F135" s="20">
        <v>555</v>
      </c>
      <c r="G135" s="21">
        <v>0.95</v>
      </c>
      <c r="H135" s="20">
        <v>0</v>
      </c>
      <c r="I135" s="20">
        <v>65.930000000000007</v>
      </c>
      <c r="J135" s="20">
        <v>415</v>
      </c>
      <c r="K135" s="20" t="str">
        <f>HYPERLINK("https://www.ncbi.nlm.nih.gov/protein/WP_118110323.1?report=genbank&amp;log$=prottop&amp;blast_rank=178&amp;RID=ATFAS5CP016","WP_118110323.1")</f>
        <v>WP_118110323.1</v>
      </c>
    </row>
    <row r="136" spans="1:11">
      <c r="A136" s="20" t="s">
        <v>628</v>
      </c>
      <c r="B136" s="31" t="s">
        <v>420</v>
      </c>
      <c r="C136" s="20" t="s">
        <v>421</v>
      </c>
      <c r="D136" s="20" t="s">
        <v>629</v>
      </c>
      <c r="E136" s="20" t="s">
        <v>630</v>
      </c>
      <c r="F136" s="20">
        <v>562</v>
      </c>
      <c r="G136" s="21">
        <v>0.97</v>
      </c>
      <c r="H136" s="20">
        <v>0</v>
      </c>
      <c r="I136" s="20">
        <v>66.02</v>
      </c>
      <c r="J136" s="20">
        <v>415</v>
      </c>
      <c r="K136" s="20" t="str">
        <f>HYPERLINK("https://www.ncbi.nlm.nih.gov/protein/WP_130811256.1?report=genbank&amp;log$=prottop&amp;blast_rank=169&amp;RID=ATFAS5CP016","WP_130811256.1")</f>
        <v>WP_130811256.1</v>
      </c>
    </row>
    <row r="137" spans="1:11">
      <c r="A137" s="20" t="s">
        <v>631</v>
      </c>
      <c r="B137" s="31" t="s">
        <v>420</v>
      </c>
      <c r="C137" s="20" t="s">
        <v>421</v>
      </c>
      <c r="D137" s="20" t="s">
        <v>632</v>
      </c>
      <c r="E137" s="20" t="s">
        <v>399</v>
      </c>
      <c r="F137" s="20">
        <v>568</v>
      </c>
      <c r="G137" s="21">
        <v>0.97</v>
      </c>
      <c r="H137" s="20">
        <v>0</v>
      </c>
      <c r="I137" s="20">
        <v>66.510000000000005</v>
      </c>
      <c r="J137" s="20">
        <v>415</v>
      </c>
      <c r="K137" s="20" t="str">
        <f>HYPERLINK("https://www.ncbi.nlm.nih.gov/protein/WP_050341619.1?report=genbank&amp;log$=prottop&amp;blast_rank=167&amp;RID=ATFAS5CP016","WP_050341619.1")</f>
        <v>WP_050341619.1</v>
      </c>
    </row>
    <row r="138" spans="1:11">
      <c r="A138" s="20" t="s">
        <v>633</v>
      </c>
      <c r="B138" s="31" t="s">
        <v>420</v>
      </c>
      <c r="C138" s="20" t="s">
        <v>421</v>
      </c>
      <c r="D138" s="20" t="s">
        <v>398</v>
      </c>
      <c r="E138" s="20" t="s">
        <v>399</v>
      </c>
      <c r="F138" s="20">
        <v>634</v>
      </c>
      <c r="G138" s="21">
        <v>0.96</v>
      </c>
      <c r="H138" s="20">
        <v>0</v>
      </c>
      <c r="I138" s="20">
        <v>74.88</v>
      </c>
      <c r="J138" s="20">
        <v>415</v>
      </c>
      <c r="K138" s="20" t="str">
        <f>HYPERLINK("https://www.ncbi.nlm.nih.gov/protein/WP_204831801.1?report=genbank&amp;log$=prottop&amp;blast_rank=114&amp;RID=ATFAS5CP016","WP_204831801.1")</f>
        <v>WP_204831801.1</v>
      </c>
    </row>
    <row r="139" spans="1:11">
      <c r="A139" s="20" t="s">
        <v>634</v>
      </c>
      <c r="B139" s="31" t="s">
        <v>420</v>
      </c>
      <c r="C139" s="20" t="s">
        <v>421</v>
      </c>
      <c r="D139" s="20" t="s">
        <v>635</v>
      </c>
      <c r="E139" s="20" t="s">
        <v>636</v>
      </c>
      <c r="F139" s="20">
        <v>589</v>
      </c>
      <c r="G139" s="21">
        <v>0.95</v>
      </c>
      <c r="H139" s="20">
        <v>0</v>
      </c>
      <c r="I139" s="20">
        <v>69.53</v>
      </c>
      <c r="J139" s="20">
        <v>425</v>
      </c>
      <c r="K139" s="20" t="str">
        <f>HYPERLINK("https://www.ncbi.nlm.nih.gov/protein/WP_077598673.1?report=genbank&amp;log$=prottop&amp;blast_rank=144&amp;RID=ATFAS5CP016","WP_077598673.1")</f>
        <v>WP_077598673.1</v>
      </c>
    </row>
    <row r="140" spans="1:11">
      <c r="A140" s="20" t="s">
        <v>637</v>
      </c>
      <c r="B140" s="31" t="s">
        <v>420</v>
      </c>
      <c r="C140" s="20" t="s">
        <v>421</v>
      </c>
      <c r="D140" s="20" t="s">
        <v>638</v>
      </c>
      <c r="E140" s="20" t="s">
        <v>399</v>
      </c>
      <c r="F140" s="20">
        <v>549</v>
      </c>
      <c r="G140" s="21">
        <v>0.95</v>
      </c>
      <c r="H140" s="20">
        <v>0</v>
      </c>
      <c r="I140" s="20">
        <v>65.36</v>
      </c>
      <c r="J140" s="20">
        <v>415</v>
      </c>
      <c r="K140" s="20" t="str">
        <f>HYPERLINK("https://www.ncbi.nlm.nih.gov/protein/WP_170102989.1?report=genbank&amp;log$=prottop&amp;blast_rank=181&amp;RID=ATFAS5CP016","WP_170102989.1")</f>
        <v>WP_170102989.1</v>
      </c>
    </row>
    <row r="141" spans="1:11">
      <c r="A141" s="20" t="s">
        <v>639</v>
      </c>
      <c r="B141" s="31" t="s">
        <v>420</v>
      </c>
      <c r="C141" s="20" t="s">
        <v>421</v>
      </c>
      <c r="D141" s="20" t="s">
        <v>398</v>
      </c>
      <c r="E141" s="20" t="s">
        <v>399</v>
      </c>
      <c r="F141" s="20">
        <v>592</v>
      </c>
      <c r="G141" s="21">
        <v>0.95</v>
      </c>
      <c r="H141" s="20">
        <v>0</v>
      </c>
      <c r="I141" s="20">
        <v>71.5</v>
      </c>
      <c r="J141" s="20">
        <v>415</v>
      </c>
      <c r="K141" s="20" t="str">
        <f>HYPERLINK("https://www.ncbi.nlm.nih.gov/protein/WP_195449093.1?report=genbank&amp;log$=prottop&amp;blast_rank=140&amp;RID=ATFAS5CP016","WP_195449093.1")</f>
        <v>WP_195449093.1</v>
      </c>
    </row>
    <row r="142" spans="1:11">
      <c r="A142" s="20" t="s">
        <v>640</v>
      </c>
      <c r="B142" s="31" t="s">
        <v>420</v>
      </c>
      <c r="C142" s="20" t="s">
        <v>421</v>
      </c>
      <c r="D142" s="20" t="s">
        <v>398</v>
      </c>
      <c r="E142" s="20" t="s">
        <v>399</v>
      </c>
      <c r="F142" s="20">
        <v>593</v>
      </c>
      <c r="G142" s="21">
        <v>0.95</v>
      </c>
      <c r="H142" s="20">
        <v>0</v>
      </c>
      <c r="I142" s="20">
        <v>71.739999999999995</v>
      </c>
      <c r="J142" s="20">
        <v>415</v>
      </c>
      <c r="K142" s="20" t="str">
        <f>HYPERLINK("https://www.ncbi.nlm.nih.gov/protein/WP_073293576.1?report=genbank&amp;log$=prottop&amp;blast_rank=139&amp;RID=ATFAS5CP016","WP_073293576.1")</f>
        <v>WP_073293576.1</v>
      </c>
    </row>
    <row r="143" spans="1:11">
      <c r="A143" s="20" t="s">
        <v>641</v>
      </c>
      <c r="B143" s="31" t="s">
        <v>396</v>
      </c>
      <c r="C143" s="20" t="s">
        <v>591</v>
      </c>
      <c r="D143" s="20" t="s">
        <v>431</v>
      </c>
      <c r="E143" s="20" t="s">
        <v>399</v>
      </c>
      <c r="F143" s="20">
        <v>439</v>
      </c>
      <c r="G143" s="21">
        <v>0.95</v>
      </c>
      <c r="H143" s="22">
        <v>9.9999999999999994E-149</v>
      </c>
      <c r="I143" s="20">
        <v>53.04</v>
      </c>
      <c r="J143" s="20">
        <v>416</v>
      </c>
      <c r="K143" s="20" t="str">
        <f>HYPERLINK("https://www.ncbi.nlm.nih.gov/protein/MBS4872602.1?report=genbank&amp;log$=prottop&amp;blast_rank=409&amp;RID=ATFAS5CP016","MBS4872602.1")</f>
        <v>MBS4872602.1</v>
      </c>
    </row>
    <row r="144" spans="1:11">
      <c r="A144" s="20" t="s">
        <v>642</v>
      </c>
      <c r="B144" s="31" t="s">
        <v>396</v>
      </c>
      <c r="C144" s="20" t="s">
        <v>591</v>
      </c>
      <c r="D144" s="20" t="s">
        <v>431</v>
      </c>
      <c r="E144" s="20" t="s">
        <v>399</v>
      </c>
      <c r="F144" s="20">
        <v>437</v>
      </c>
      <c r="G144" s="21">
        <v>0.95</v>
      </c>
      <c r="H144" s="22">
        <v>6E-148</v>
      </c>
      <c r="I144" s="20">
        <v>52.8</v>
      </c>
      <c r="J144" s="20">
        <v>416</v>
      </c>
      <c r="K144" s="20" t="str">
        <f>HYPERLINK("https://www.ncbi.nlm.nih.gov/protein/EGS30651.1?report=genbank&amp;log$=prottop&amp;blast_rank=412&amp;RID=ATFAS5CP016","EGS30651.1")</f>
        <v>EGS30651.1</v>
      </c>
    </row>
    <row r="145" spans="1:11">
      <c r="A145" s="20" t="s">
        <v>643</v>
      </c>
      <c r="B145" s="31" t="s">
        <v>396</v>
      </c>
      <c r="C145" s="20" t="s">
        <v>644</v>
      </c>
      <c r="D145" s="20" t="s">
        <v>398</v>
      </c>
      <c r="E145" s="20" t="s">
        <v>399</v>
      </c>
      <c r="F145" s="20">
        <v>489</v>
      </c>
      <c r="G145" s="21">
        <v>0.96</v>
      </c>
      <c r="H145" s="22">
        <v>2.0000000000000001E-168</v>
      </c>
      <c r="I145" s="20">
        <v>58.6</v>
      </c>
      <c r="J145" s="20">
        <v>413</v>
      </c>
      <c r="K145" s="20" t="str">
        <f>HYPERLINK("https://www.ncbi.nlm.nih.gov/protein/WP_256316837.1?report=genbank&amp;log$=prottop&amp;blast_rank=278&amp;RID=ATFAS5CP016","WP_256316837.1")</f>
        <v>WP_256316837.1</v>
      </c>
    </row>
    <row r="146" spans="1:11">
      <c r="A146" s="20" t="s">
        <v>645</v>
      </c>
      <c r="B146" s="31" t="s">
        <v>396</v>
      </c>
      <c r="C146" s="20" t="s">
        <v>644</v>
      </c>
      <c r="D146" s="20" t="s">
        <v>646</v>
      </c>
      <c r="E146" s="20" t="s">
        <v>411</v>
      </c>
      <c r="F146" s="20">
        <v>487</v>
      </c>
      <c r="G146" s="21">
        <v>0.96</v>
      </c>
      <c r="H146" s="22">
        <v>2E-167</v>
      </c>
      <c r="I146" s="20">
        <v>58.11</v>
      </c>
      <c r="J146" s="20">
        <v>413</v>
      </c>
      <c r="K146" s="20" t="str">
        <f>HYPERLINK("https://www.ncbi.nlm.nih.gov/protein/MBP6946673.1?report=genbank&amp;log$=prottop&amp;blast_rank=290&amp;RID=ATFAS5CP016","MBP6946673.1")</f>
        <v>MBP6946673.1</v>
      </c>
    </row>
    <row r="147" spans="1:11">
      <c r="A147" s="20" t="s">
        <v>647</v>
      </c>
      <c r="B147" s="31" t="s">
        <v>396</v>
      </c>
      <c r="C147" s="20" t="s">
        <v>467</v>
      </c>
      <c r="D147" s="20" t="s">
        <v>398</v>
      </c>
      <c r="E147" s="20" t="s">
        <v>399</v>
      </c>
      <c r="F147" s="20">
        <v>503</v>
      </c>
      <c r="G147" s="21">
        <v>0.95</v>
      </c>
      <c r="H147" s="22">
        <v>5.0000000000000002E-174</v>
      </c>
      <c r="I147" s="20">
        <v>60.05</v>
      </c>
      <c r="J147" s="20">
        <v>413</v>
      </c>
      <c r="K147" s="20" t="str">
        <f>HYPERLINK("https://www.ncbi.nlm.nih.gov/protein/WP_227706453.1?report=genbank&amp;log$=prottop&amp;blast_rank=217&amp;RID=ATFAS5CP016","WP_227706453.1")</f>
        <v>WP_227706453.1</v>
      </c>
    </row>
    <row r="148" spans="1:11">
      <c r="A148" s="20" t="s">
        <v>648</v>
      </c>
      <c r="B148" s="31" t="s">
        <v>396</v>
      </c>
      <c r="C148" s="20" t="s">
        <v>649</v>
      </c>
      <c r="D148" s="20" t="s">
        <v>650</v>
      </c>
      <c r="E148" s="20" t="s">
        <v>411</v>
      </c>
      <c r="F148" s="20">
        <v>493</v>
      </c>
      <c r="G148" s="21">
        <v>0.96</v>
      </c>
      <c r="H148" s="22">
        <v>6.0000000000000003E-170</v>
      </c>
      <c r="I148" s="20">
        <v>58.74</v>
      </c>
      <c r="J148" s="20">
        <v>415</v>
      </c>
      <c r="K148" s="20" t="str">
        <f>HYPERLINK("https://www.ncbi.nlm.nih.gov/protein/WP_207236492.1?report=genbank&amp;log$=prottop&amp;blast_rank=271&amp;RID=ATFAS5CP016","WP_207236492.1")</f>
        <v>WP_207236492.1</v>
      </c>
    </row>
    <row r="149" spans="1:11">
      <c r="A149" s="20" t="s">
        <v>651</v>
      </c>
      <c r="B149" s="31" t="s">
        <v>396</v>
      </c>
      <c r="C149" s="20" t="s">
        <v>652</v>
      </c>
      <c r="D149" s="20" t="s">
        <v>653</v>
      </c>
      <c r="E149" s="20" t="s">
        <v>411</v>
      </c>
      <c r="F149" s="20">
        <v>456</v>
      </c>
      <c r="G149" s="21">
        <v>0.96</v>
      </c>
      <c r="H149" s="22">
        <v>2.9999999999999998E-155</v>
      </c>
      <c r="I149" s="20">
        <v>54.99</v>
      </c>
      <c r="J149" s="20">
        <v>412</v>
      </c>
      <c r="K149" s="20" t="str">
        <f>HYPERLINK("https://www.ncbi.nlm.nih.gov/protein/WP_135270274.1?report=genbank&amp;log$=prottop&amp;blast_rank=367&amp;RID=ATFAS5CP016","WP_135270274.1")</f>
        <v>WP_135270274.1</v>
      </c>
    </row>
    <row r="150" spans="1:11">
      <c r="A150" s="20" t="s">
        <v>654</v>
      </c>
      <c r="B150" s="31" t="s">
        <v>396</v>
      </c>
      <c r="C150" s="20" t="s">
        <v>652</v>
      </c>
      <c r="D150" s="20" t="s">
        <v>655</v>
      </c>
      <c r="E150" s="20" t="s">
        <v>408</v>
      </c>
      <c r="F150" s="20">
        <v>451</v>
      </c>
      <c r="G150" s="21">
        <v>0.96</v>
      </c>
      <c r="H150" s="22">
        <v>2.0000000000000001E-153</v>
      </c>
      <c r="I150" s="20">
        <v>55.23</v>
      </c>
      <c r="J150" s="20">
        <v>412</v>
      </c>
      <c r="K150" s="20" t="str">
        <f>HYPERLINK("https://www.ncbi.nlm.nih.gov/protein/TJX66414.1?report=genbank&amp;log$=prottop&amp;blast_rank=381&amp;RID=ATFAS5CP016","TJX66414.1")</f>
        <v>TJX66414.1</v>
      </c>
    </row>
    <row r="151" spans="1:11">
      <c r="A151" s="20" t="s">
        <v>656</v>
      </c>
      <c r="B151" s="31" t="s">
        <v>396</v>
      </c>
      <c r="C151" s="32" t="s">
        <v>416</v>
      </c>
      <c r="D151" s="20" t="s">
        <v>657</v>
      </c>
      <c r="E151" s="20" t="s">
        <v>408</v>
      </c>
      <c r="F151" s="20">
        <v>472</v>
      </c>
      <c r="G151" s="21">
        <v>0.96</v>
      </c>
      <c r="H151" s="22">
        <v>9.0000000000000005E-162</v>
      </c>
      <c r="I151" s="20">
        <v>57.77</v>
      </c>
      <c r="J151" s="20">
        <v>412</v>
      </c>
      <c r="K151" s="20" t="str">
        <f>HYPERLINK("https://www.ncbi.nlm.nih.gov/protein/WP_072744948.1?report=genbank&amp;log$=prottop&amp;blast_rank=310&amp;RID=ATFAS5CP016","WP_072744948.1")</f>
        <v>WP_072744948.1</v>
      </c>
    </row>
    <row r="152" spans="1:11">
      <c r="A152" s="20" t="s">
        <v>658</v>
      </c>
      <c r="B152" s="31" t="s">
        <v>396</v>
      </c>
      <c r="C152" s="20" t="s">
        <v>467</v>
      </c>
      <c r="D152" s="20" t="s">
        <v>398</v>
      </c>
      <c r="E152" s="20" t="s">
        <v>399</v>
      </c>
      <c r="F152" s="20">
        <v>497</v>
      </c>
      <c r="G152" s="21">
        <v>0.96</v>
      </c>
      <c r="H152" s="22">
        <v>2E-171</v>
      </c>
      <c r="I152" s="20">
        <v>60.34</v>
      </c>
      <c r="J152" s="20">
        <v>413</v>
      </c>
      <c r="K152" s="20" t="str">
        <f>HYPERLINK("https://www.ncbi.nlm.nih.gov/protein/HJG28554.1?report=genbank&amp;log$=prottop&amp;blast_rank=260&amp;RID=ATFAS5CP016","HJG28554.1")</f>
        <v>HJG28554.1</v>
      </c>
    </row>
    <row r="153" spans="1:11">
      <c r="A153" s="20" t="s">
        <v>659</v>
      </c>
      <c r="B153" s="31" t="s">
        <v>396</v>
      </c>
      <c r="C153" s="20" t="s">
        <v>660</v>
      </c>
      <c r="D153" s="20" t="s">
        <v>661</v>
      </c>
      <c r="E153" s="20" t="s">
        <v>408</v>
      </c>
      <c r="F153" s="20">
        <v>453</v>
      </c>
      <c r="G153" s="21">
        <v>0.97</v>
      </c>
      <c r="H153" s="22">
        <v>1.9999999999999999E-154</v>
      </c>
      <c r="I153" s="20">
        <v>55.05</v>
      </c>
      <c r="J153" s="20">
        <v>416</v>
      </c>
      <c r="K153" s="20" t="str">
        <f>HYPERLINK("https://www.ncbi.nlm.nih.gov/protein/WP_044666327.1?report=genbank&amp;log$=prottop&amp;blast_rank=374&amp;RID=ATFAS5CP016","WP_044666327.1")</f>
        <v>WP_044666327.1</v>
      </c>
    </row>
    <row r="154" spans="1:11">
      <c r="A154" s="20" t="s">
        <v>662</v>
      </c>
      <c r="B154" s="31" t="s">
        <v>396</v>
      </c>
      <c r="C154" s="20" t="s">
        <v>663</v>
      </c>
      <c r="D154" s="20" t="s">
        <v>664</v>
      </c>
      <c r="E154" s="20" t="s">
        <v>408</v>
      </c>
      <c r="F154" s="20">
        <v>465</v>
      </c>
      <c r="G154" s="21">
        <v>0.98</v>
      </c>
      <c r="H154" s="22">
        <v>6.0000000000000002E-159</v>
      </c>
      <c r="I154" s="20">
        <v>55.48</v>
      </c>
      <c r="J154" s="20">
        <v>417</v>
      </c>
      <c r="K154" s="20" t="str">
        <f>HYPERLINK("https://www.ncbi.nlm.nih.gov/protein/HHW30042.1?report=genbank&amp;log$=prottop&amp;blast_rank=340&amp;RID=ATFAS5CP016","HHW30042.1")</f>
        <v>HHW30042.1</v>
      </c>
    </row>
    <row r="155" spans="1:11">
      <c r="A155" s="20" t="s">
        <v>665</v>
      </c>
      <c r="B155" s="31" t="s">
        <v>396</v>
      </c>
      <c r="C155" s="20" t="s">
        <v>663</v>
      </c>
      <c r="D155" s="20" t="s">
        <v>666</v>
      </c>
      <c r="E155" s="20" t="s">
        <v>408</v>
      </c>
      <c r="F155" s="20">
        <v>469</v>
      </c>
      <c r="G155" s="21">
        <v>0.96</v>
      </c>
      <c r="H155" s="22">
        <v>9.9999999999999999E-161</v>
      </c>
      <c r="I155" s="20">
        <v>56.69</v>
      </c>
      <c r="J155" s="20">
        <v>415</v>
      </c>
      <c r="K155" s="20" t="str">
        <f>HYPERLINK("https://www.ncbi.nlm.nih.gov/protein/HBQ86650.1?report=genbank&amp;log$=prottop&amp;blast_rank=323&amp;RID=ATFAS5CP016","HBQ86650.1")</f>
        <v>HBQ86650.1</v>
      </c>
    </row>
    <row r="156" spans="1:11">
      <c r="A156" s="20" t="s">
        <v>667</v>
      </c>
      <c r="B156" s="31" t="s">
        <v>420</v>
      </c>
      <c r="C156" s="20" t="s">
        <v>421</v>
      </c>
      <c r="D156" s="20" t="s">
        <v>668</v>
      </c>
      <c r="E156" s="20" t="s">
        <v>408</v>
      </c>
      <c r="F156" s="20">
        <v>611</v>
      </c>
      <c r="G156" s="21">
        <v>0.97</v>
      </c>
      <c r="H156" s="20">
        <v>0</v>
      </c>
      <c r="I156" s="20">
        <v>73.489999999999995</v>
      </c>
      <c r="J156" s="20">
        <v>416</v>
      </c>
      <c r="K156" s="20" t="str">
        <f>HYPERLINK("https://www.ncbi.nlm.nih.gov/protein/WP_194371057.1?report=genbank&amp;log$=prottop&amp;blast_rank=120&amp;RID=ATFAS5CP016","WP_194371057.1")</f>
        <v>WP_194371057.1</v>
      </c>
    </row>
    <row r="157" spans="1:11">
      <c r="A157" s="20" t="s">
        <v>669</v>
      </c>
      <c r="B157" s="31" t="s">
        <v>396</v>
      </c>
      <c r="C157" s="20" t="s">
        <v>652</v>
      </c>
      <c r="D157" s="20" t="s">
        <v>670</v>
      </c>
      <c r="E157" s="20" t="s">
        <v>425</v>
      </c>
      <c r="F157" s="20">
        <v>446</v>
      </c>
      <c r="G157" s="21">
        <v>0.96</v>
      </c>
      <c r="H157" s="22">
        <v>1.9999999999999999E-151</v>
      </c>
      <c r="I157" s="20">
        <v>54.26</v>
      </c>
      <c r="J157" s="20">
        <v>413</v>
      </c>
      <c r="K157" s="20" t="str">
        <f>HYPERLINK("https://www.ncbi.nlm.nih.gov/protein/MBU5313712.1?report=genbank&amp;log$=prottop&amp;blast_rank=393&amp;RID=ATFAS5CP016","MBU5313712.1")</f>
        <v>MBU5313712.1</v>
      </c>
    </row>
    <row r="158" spans="1:11">
      <c r="A158" s="20" t="s">
        <v>671</v>
      </c>
      <c r="B158" s="31" t="s">
        <v>396</v>
      </c>
      <c r="C158" s="20" t="s">
        <v>652</v>
      </c>
      <c r="D158" s="20" t="s">
        <v>670</v>
      </c>
      <c r="E158" s="20" t="s">
        <v>425</v>
      </c>
      <c r="F158" s="20">
        <v>451</v>
      </c>
      <c r="G158" s="21">
        <v>0.96</v>
      </c>
      <c r="H158" s="22">
        <v>3E-153</v>
      </c>
      <c r="I158" s="20">
        <v>54.74</v>
      </c>
      <c r="J158" s="20">
        <v>412</v>
      </c>
      <c r="K158" s="20" t="str">
        <f>HYPERLINK("https://www.ncbi.nlm.nih.gov/protein/MSU01132.1?report=genbank&amp;log$=prottop&amp;blast_rank=384&amp;RID=ATFAS5CP016","MSU01132.1")</f>
        <v>MSU01132.1</v>
      </c>
    </row>
    <row r="159" spans="1:11">
      <c r="A159" s="20" t="s">
        <v>672</v>
      </c>
      <c r="B159" s="31" t="s">
        <v>396</v>
      </c>
      <c r="C159" s="20" t="s">
        <v>652</v>
      </c>
      <c r="D159" s="20" t="s">
        <v>673</v>
      </c>
      <c r="E159" s="20" t="s">
        <v>425</v>
      </c>
      <c r="F159" s="20">
        <v>438</v>
      </c>
      <c r="G159" s="21">
        <v>0.96</v>
      </c>
      <c r="H159" s="22">
        <v>1.9999999999999999E-148</v>
      </c>
      <c r="I159" s="20">
        <v>53.64</v>
      </c>
      <c r="J159" s="20">
        <v>412</v>
      </c>
      <c r="K159" s="20" t="str">
        <f>HYPERLINK("https://www.ncbi.nlm.nih.gov/protein/WP_072973079.1?report=genbank&amp;log$=prottop&amp;blast_rank=410&amp;RID=ATFAS5CP016","WP_072973079.1")</f>
        <v>WP_072973079.1</v>
      </c>
    </row>
    <row r="160" spans="1:11">
      <c r="A160" s="20" t="s">
        <v>674</v>
      </c>
      <c r="B160" s="31" t="s">
        <v>396</v>
      </c>
      <c r="C160" s="20" t="s">
        <v>652</v>
      </c>
      <c r="D160" s="20" t="s">
        <v>498</v>
      </c>
      <c r="E160" s="20" t="s">
        <v>399</v>
      </c>
      <c r="F160" s="20">
        <v>469</v>
      </c>
      <c r="G160" s="21">
        <v>0.96</v>
      </c>
      <c r="H160" s="22">
        <v>9.9999999999999999E-161</v>
      </c>
      <c r="I160" s="20">
        <v>57.18</v>
      </c>
      <c r="J160" s="20">
        <v>412</v>
      </c>
      <c r="K160" s="20" t="str">
        <f>HYPERLINK("https://www.ncbi.nlm.nih.gov/protein/WP_216520205.1?report=genbank&amp;log$=prottop&amp;blast_rank=324&amp;RID=ATFAS5CP016","WP_216520205.1")</f>
        <v>WP_216520205.1</v>
      </c>
    </row>
    <row r="161" spans="1:11">
      <c r="A161" s="20" t="s">
        <v>675</v>
      </c>
      <c r="B161" s="31" t="s">
        <v>396</v>
      </c>
      <c r="C161" s="20" t="s">
        <v>652</v>
      </c>
      <c r="D161" s="20" t="s">
        <v>676</v>
      </c>
      <c r="E161" s="20" t="s">
        <v>411</v>
      </c>
      <c r="F161" s="20">
        <v>446</v>
      </c>
      <c r="G161" s="21">
        <v>0.96</v>
      </c>
      <c r="H161" s="22">
        <v>3.0000000000000002E-151</v>
      </c>
      <c r="I161" s="20">
        <v>54.26</v>
      </c>
      <c r="J161" s="20">
        <v>413</v>
      </c>
      <c r="K161" s="20" t="str">
        <f>HYPERLINK("https://www.ncbi.nlm.nih.gov/protein/WP_094903058.1?report=genbank&amp;log$=prottop&amp;blast_rank=396&amp;RID=ATFAS5CP016","WP_094903058.1")</f>
        <v>WP_094903058.1</v>
      </c>
    </row>
    <row r="162" spans="1:11">
      <c r="A162" s="20" t="s">
        <v>677</v>
      </c>
      <c r="B162" s="31" t="s">
        <v>396</v>
      </c>
      <c r="C162" s="20" t="s">
        <v>652</v>
      </c>
      <c r="D162" s="20" t="s">
        <v>678</v>
      </c>
      <c r="E162" s="20" t="s">
        <v>408</v>
      </c>
      <c r="F162" s="20">
        <v>447</v>
      </c>
      <c r="G162" s="21">
        <v>0.96</v>
      </c>
      <c r="H162" s="22">
        <v>7.0000000000000002E-152</v>
      </c>
      <c r="I162" s="20">
        <v>54.99</v>
      </c>
      <c r="J162" s="20">
        <v>412</v>
      </c>
      <c r="K162" s="20" t="str">
        <f>HYPERLINK("https://www.ncbi.nlm.nih.gov/protein/MBC7088124.1?report=genbank&amp;log$=prottop&amp;blast_rank=389&amp;RID=ATFAS5CP016","MBC7088124.1")</f>
        <v>MBC7088124.1</v>
      </c>
    </row>
    <row r="163" spans="1:11">
      <c r="A163" s="20" t="s">
        <v>679</v>
      </c>
      <c r="B163" s="31" t="s">
        <v>396</v>
      </c>
      <c r="C163" s="20" t="s">
        <v>652</v>
      </c>
      <c r="D163" s="20" t="s">
        <v>664</v>
      </c>
      <c r="E163" s="20" t="s">
        <v>408</v>
      </c>
      <c r="F163" s="20">
        <v>442</v>
      </c>
      <c r="G163" s="21">
        <v>0.96</v>
      </c>
      <c r="H163" s="22">
        <v>6.9999999999999996E-150</v>
      </c>
      <c r="I163" s="20">
        <v>53.53</v>
      </c>
      <c r="J163" s="20">
        <v>412</v>
      </c>
      <c r="K163" s="20" t="str">
        <f>HYPERLINK("https://www.ncbi.nlm.nih.gov/protein/NMA85767.1?report=genbank&amp;log$=prottop&amp;blast_rank=403&amp;RID=ATFAS5CP016","NMA85767.1")</f>
        <v>NMA85767.1</v>
      </c>
    </row>
    <row r="164" spans="1:11">
      <c r="A164" s="20" t="s">
        <v>680</v>
      </c>
      <c r="B164" s="31" t="s">
        <v>396</v>
      </c>
      <c r="C164" s="20" t="s">
        <v>652</v>
      </c>
      <c r="D164" s="20" t="s">
        <v>681</v>
      </c>
      <c r="E164" s="20" t="s">
        <v>425</v>
      </c>
      <c r="F164" s="20">
        <v>446</v>
      </c>
      <c r="G164" s="21">
        <v>0.95</v>
      </c>
      <c r="H164" s="22">
        <v>3.0000000000000002E-151</v>
      </c>
      <c r="I164" s="20">
        <v>54.01</v>
      </c>
      <c r="J164" s="20">
        <v>416</v>
      </c>
      <c r="K164" s="20" t="str">
        <f>HYPERLINK("https://www.ncbi.nlm.nih.gov/protein/KGF08563.1?report=genbank&amp;log$=prottop&amp;blast_rank=395&amp;RID=ATFAS5CP016","KGF08563.1")</f>
        <v>KGF08563.1</v>
      </c>
    </row>
    <row r="165" spans="1:11">
      <c r="A165" s="20" t="s">
        <v>682</v>
      </c>
      <c r="B165" s="31" t="s">
        <v>396</v>
      </c>
      <c r="C165" s="20" t="s">
        <v>397</v>
      </c>
      <c r="D165" s="20" t="s">
        <v>398</v>
      </c>
      <c r="E165" s="20" t="s">
        <v>399</v>
      </c>
      <c r="F165" s="20">
        <v>501</v>
      </c>
      <c r="G165" s="21">
        <v>0.95</v>
      </c>
      <c r="H165" s="22">
        <v>3.0000000000000001E-173</v>
      </c>
      <c r="I165" s="20">
        <v>60.39</v>
      </c>
      <c r="J165" s="20">
        <v>415</v>
      </c>
      <c r="K165" s="20" t="str">
        <f>HYPERLINK("https://www.ncbi.nlm.nih.gov/protein/WP_138309064.1?report=genbank&amp;log$=prottop&amp;blast_rank=229&amp;RID=ATFAS5CP016","WP_138309064.1")</f>
        <v>WP_138309064.1</v>
      </c>
    </row>
    <row r="166" spans="1:11">
      <c r="A166" s="20" t="s">
        <v>683</v>
      </c>
      <c r="B166" s="31" t="s">
        <v>420</v>
      </c>
      <c r="C166" s="20" t="s">
        <v>463</v>
      </c>
      <c r="D166" s="20" t="s">
        <v>398</v>
      </c>
      <c r="E166" s="20" t="s">
        <v>399</v>
      </c>
      <c r="F166" s="20">
        <v>867</v>
      </c>
      <c r="G166" s="21">
        <v>1</v>
      </c>
      <c r="H166" s="20">
        <v>0</v>
      </c>
      <c r="I166" s="20">
        <v>97.65</v>
      </c>
      <c r="J166" s="20">
        <v>425</v>
      </c>
      <c r="K166" s="20" t="str">
        <f>HYPERLINK("https://www.ncbi.nlm.nih.gov/protein/WP_147588765.1?report=genbank&amp;log$=prottop&amp;blast_rank=12&amp;RID=ATFAS5CP016","WP_147588765.1")</f>
        <v>WP_147588765.1</v>
      </c>
    </row>
    <row r="167" spans="1:11">
      <c r="A167" s="20" t="s">
        <v>684</v>
      </c>
      <c r="B167" s="31" t="s">
        <v>396</v>
      </c>
      <c r="C167" s="20" t="s">
        <v>685</v>
      </c>
      <c r="D167" s="20" t="s">
        <v>538</v>
      </c>
      <c r="E167" s="20" t="s">
        <v>399</v>
      </c>
      <c r="F167" s="20">
        <v>499</v>
      </c>
      <c r="G167" s="21">
        <v>0.96</v>
      </c>
      <c r="H167" s="22">
        <v>2.0000000000000001E-172</v>
      </c>
      <c r="I167" s="20">
        <v>60.34</v>
      </c>
      <c r="J167" s="20">
        <v>413</v>
      </c>
      <c r="K167" s="20" t="str">
        <f>HYPERLINK("https://www.ncbi.nlm.nih.gov/protein/WP_087183512.1?report=genbank&amp;log$=prottop&amp;blast_rank=245&amp;RID=ATFAS5CP016","WP_087183512.1")</f>
        <v>WP_087183512.1</v>
      </c>
    </row>
    <row r="168" spans="1:11">
      <c r="A168" s="20" t="s">
        <v>686</v>
      </c>
      <c r="B168" s="31" t="s">
        <v>420</v>
      </c>
      <c r="C168" s="20" t="s">
        <v>421</v>
      </c>
      <c r="D168" s="20" t="s">
        <v>626</v>
      </c>
      <c r="E168" s="20" t="s">
        <v>408</v>
      </c>
      <c r="F168" s="20">
        <v>706</v>
      </c>
      <c r="G168" s="21">
        <v>0.99</v>
      </c>
      <c r="H168" s="20">
        <v>0</v>
      </c>
      <c r="I168" s="20">
        <v>80</v>
      </c>
      <c r="J168" s="20">
        <v>429</v>
      </c>
      <c r="K168" s="20" t="str">
        <f>HYPERLINK("https://www.ncbi.nlm.nih.gov/protein/WP_283713798.1?report=genbank&amp;log$=prottop&amp;blast_rank=112&amp;RID=ATFAS5CP016","WP_283713798.1")</f>
        <v>WP_283713798.1</v>
      </c>
    </row>
    <row r="169" spans="1:11">
      <c r="A169" s="20" t="s">
        <v>687</v>
      </c>
      <c r="B169" s="31" t="s">
        <v>420</v>
      </c>
      <c r="C169" s="20" t="s">
        <v>456</v>
      </c>
      <c r="D169" s="20" t="s">
        <v>503</v>
      </c>
      <c r="E169" s="20"/>
      <c r="F169" s="20">
        <v>459</v>
      </c>
      <c r="G169" s="21">
        <v>0.95</v>
      </c>
      <c r="H169" s="22">
        <v>7.9999999999999995E-157</v>
      </c>
      <c r="I169" s="20">
        <v>55.75</v>
      </c>
      <c r="J169" s="20">
        <v>412</v>
      </c>
      <c r="K169" s="20" t="str">
        <f>HYPERLINK("https://www.ncbi.nlm.nih.gov/protein/WP_048706812.1?report=genbank&amp;log$=prottop&amp;blast_rank=356&amp;RID=ATFAS5CP016","WP_048706812.1")</f>
        <v>WP_048706812.1</v>
      </c>
    </row>
    <row r="170" spans="1:11">
      <c r="A170" s="20" t="s">
        <v>688</v>
      </c>
      <c r="B170" s="31" t="s">
        <v>396</v>
      </c>
      <c r="C170" s="20" t="s">
        <v>446</v>
      </c>
      <c r="D170" s="20" t="s">
        <v>398</v>
      </c>
      <c r="E170" s="20" t="s">
        <v>399</v>
      </c>
      <c r="F170" s="20">
        <v>501</v>
      </c>
      <c r="G170" s="21">
        <v>0.95</v>
      </c>
      <c r="H170" s="22">
        <v>2.0000000000000001E-173</v>
      </c>
      <c r="I170" s="20">
        <v>58.92</v>
      </c>
      <c r="J170" s="20">
        <v>416</v>
      </c>
      <c r="K170" s="20" t="str">
        <f>HYPERLINK("https://www.ncbi.nlm.nih.gov/protein/WP_289071536.1?report=genbank&amp;log$=prottop&amp;blast_rank=228&amp;RID=ATFAS5CP016","WP_289071536.1")</f>
        <v>WP_289071536.1</v>
      </c>
    </row>
    <row r="171" spans="1:11">
      <c r="A171" s="20" t="s">
        <v>689</v>
      </c>
      <c r="B171" s="31" t="s">
        <v>396</v>
      </c>
      <c r="C171" s="20" t="s">
        <v>397</v>
      </c>
      <c r="D171" s="20" t="s">
        <v>398</v>
      </c>
      <c r="E171" s="20" t="s">
        <v>399</v>
      </c>
      <c r="F171" s="20">
        <v>507</v>
      </c>
      <c r="G171" s="21">
        <v>0.96</v>
      </c>
      <c r="H171" s="22">
        <v>1E-175</v>
      </c>
      <c r="I171" s="20">
        <v>60.19</v>
      </c>
      <c r="J171" s="20">
        <v>413</v>
      </c>
      <c r="K171" s="20" t="str">
        <f>HYPERLINK("https://www.ncbi.nlm.nih.gov/protein/WP_288215497.1?report=genbank&amp;log$=prottop&amp;blast_rank=208&amp;RID=ATFAS5CP016","WP_288215497.1")</f>
        <v>WP_288215497.1</v>
      </c>
    </row>
    <row r="172" spans="1:11">
      <c r="A172" s="20" t="s">
        <v>690</v>
      </c>
      <c r="B172" s="31" t="s">
        <v>420</v>
      </c>
      <c r="C172" s="20" t="s">
        <v>421</v>
      </c>
      <c r="D172" s="20" t="s">
        <v>398</v>
      </c>
      <c r="E172" s="20" t="s">
        <v>399</v>
      </c>
      <c r="F172" s="20">
        <v>594</v>
      </c>
      <c r="G172" s="21">
        <v>0.95</v>
      </c>
      <c r="H172" s="20">
        <v>0</v>
      </c>
      <c r="I172" s="20">
        <v>71.739999999999995</v>
      </c>
      <c r="J172" s="20">
        <v>415</v>
      </c>
      <c r="K172" s="20" t="str">
        <f>HYPERLINK("https://www.ncbi.nlm.nih.gov/protein/WP_288712825.1?report=genbank&amp;log$=prottop&amp;blast_rank=138&amp;RID=ATFAS5CP016","WP_288712825.1")</f>
        <v>WP_288712825.1</v>
      </c>
    </row>
    <row r="173" spans="1:11">
      <c r="A173" s="20" t="s">
        <v>691</v>
      </c>
      <c r="B173" s="31" t="s">
        <v>396</v>
      </c>
      <c r="C173" s="20" t="s">
        <v>644</v>
      </c>
      <c r="D173" s="20" t="s">
        <v>398</v>
      </c>
      <c r="E173" s="20" t="s">
        <v>399</v>
      </c>
      <c r="F173" s="20">
        <v>486</v>
      </c>
      <c r="G173" s="21">
        <v>0.96</v>
      </c>
      <c r="H173" s="22">
        <v>4E-167</v>
      </c>
      <c r="I173" s="20">
        <v>57.87</v>
      </c>
      <c r="J173" s="20">
        <v>413</v>
      </c>
      <c r="K173" s="20" t="str">
        <f>HYPERLINK("https://www.ncbi.nlm.nih.gov/protein/WP_288548416.1?report=genbank&amp;log$=prottop&amp;blast_rank=295&amp;RID=ATFAS5CP016","WP_288548416.1")</f>
        <v>WP_288548416.1</v>
      </c>
    </row>
    <row r="174" spans="1:11">
      <c r="A174" s="20" t="s">
        <v>692</v>
      </c>
      <c r="B174" s="31" t="s">
        <v>396</v>
      </c>
      <c r="C174" s="20" t="s">
        <v>591</v>
      </c>
      <c r="D174" s="20" t="s">
        <v>693</v>
      </c>
      <c r="E174" s="20" t="s">
        <v>694</v>
      </c>
      <c r="F174" s="20">
        <v>447</v>
      </c>
      <c r="G174" s="21">
        <v>0.95</v>
      </c>
      <c r="H174" s="22">
        <v>8.0000000000000005E-152</v>
      </c>
      <c r="I174" s="20">
        <v>54.26</v>
      </c>
      <c r="J174" s="20">
        <v>416</v>
      </c>
      <c r="K174" s="20" t="str">
        <f>HYPERLINK("https://www.ncbi.nlm.nih.gov/protein/WP_072469397.1?report=genbank&amp;log$=prottop&amp;blast_rank=391&amp;RID=ATFAS5CP016","WP_072469397.1")</f>
        <v>WP_072469397.1</v>
      </c>
    </row>
    <row r="175" spans="1:11">
      <c r="A175" s="20" t="s">
        <v>695</v>
      </c>
      <c r="B175" s="31" t="s">
        <v>396</v>
      </c>
      <c r="C175" s="20" t="s">
        <v>591</v>
      </c>
      <c r="D175" s="20" t="s">
        <v>398</v>
      </c>
      <c r="E175" s="20" t="s">
        <v>399</v>
      </c>
      <c r="F175" s="20">
        <v>438</v>
      </c>
      <c r="G175" s="21">
        <v>0.95</v>
      </c>
      <c r="H175" s="22">
        <v>3E-148</v>
      </c>
      <c r="I175" s="20">
        <v>52.8</v>
      </c>
      <c r="J175" s="20">
        <v>416</v>
      </c>
      <c r="K175" s="20" t="str">
        <f>HYPERLINK("https://www.ncbi.nlm.nih.gov/protein/WP_099208952.1?report=genbank&amp;log$=prottop&amp;blast_rank=411&amp;RID=ATFAS5CP016","WP_099208952.1")</f>
        <v>WP_099208952.1</v>
      </c>
    </row>
    <row r="176" spans="1:11">
      <c r="A176" s="20" t="s">
        <v>696</v>
      </c>
      <c r="B176" s="31" t="s">
        <v>396</v>
      </c>
      <c r="C176" s="20" t="s">
        <v>572</v>
      </c>
      <c r="D176" s="20" t="s">
        <v>697</v>
      </c>
      <c r="E176" s="20" t="s">
        <v>425</v>
      </c>
      <c r="F176" s="20">
        <v>489</v>
      </c>
      <c r="G176" s="21">
        <v>0.96</v>
      </c>
      <c r="H176" s="22">
        <v>2.0000000000000001E-168</v>
      </c>
      <c r="I176" s="20">
        <v>57.52</v>
      </c>
      <c r="J176" s="20">
        <v>412</v>
      </c>
      <c r="K176" s="20" t="str">
        <f>HYPERLINK("https://www.ncbi.nlm.nih.gov/protein/WP_125943698.1?report=genbank&amp;log$=prottop&amp;blast_rank=279&amp;RID=ATFAS5CP016","WP_125943698.1")</f>
        <v>WP_125943698.1</v>
      </c>
    </row>
    <row r="177" spans="1:11">
      <c r="A177" s="20" t="s">
        <v>698</v>
      </c>
      <c r="B177" s="31" t="s">
        <v>396</v>
      </c>
      <c r="C177" s="20" t="s">
        <v>446</v>
      </c>
      <c r="D177" s="20" t="s">
        <v>398</v>
      </c>
      <c r="E177" s="20" t="s">
        <v>399</v>
      </c>
      <c r="F177" s="20">
        <v>424</v>
      </c>
      <c r="G177" s="21">
        <v>0.96</v>
      </c>
      <c r="H177" s="22">
        <v>1E-142</v>
      </c>
      <c r="I177" s="20">
        <v>54.01</v>
      </c>
      <c r="J177" s="20">
        <v>413</v>
      </c>
      <c r="K177" s="20" t="str">
        <f>HYPERLINK("https://www.ncbi.nlm.nih.gov/protein/MBC8589847.1?report=genbank&amp;log$=prottop&amp;blast_rank=421&amp;RID=ATFAS5CP016","MBC8589847.1")</f>
        <v>MBC8589847.1</v>
      </c>
    </row>
    <row r="178" spans="1:11">
      <c r="A178" s="20" t="s">
        <v>699</v>
      </c>
      <c r="B178" s="31" t="s">
        <v>420</v>
      </c>
      <c r="C178" s="20" t="s">
        <v>456</v>
      </c>
      <c r="D178" s="20" t="s">
        <v>503</v>
      </c>
      <c r="E178" s="20"/>
      <c r="F178" s="20">
        <v>464</v>
      </c>
      <c r="G178" s="21">
        <v>0.96</v>
      </c>
      <c r="H178" s="22">
        <v>2.0000000000000001E-158</v>
      </c>
      <c r="I178" s="20">
        <v>55.12</v>
      </c>
      <c r="J178" s="20">
        <v>413</v>
      </c>
      <c r="K178" s="20" t="str">
        <f>HYPERLINK("https://www.ncbi.nlm.nih.gov/protein/WP_024331292.1?report=genbank&amp;log$=prottop&amp;blast_rank=345&amp;RID=ATFAS5CP016","WP_024331292.1")</f>
        <v>WP_024331292.1</v>
      </c>
    </row>
    <row r="179" spans="1:11">
      <c r="A179" s="20" t="s">
        <v>700</v>
      </c>
      <c r="B179" s="31" t="s">
        <v>396</v>
      </c>
      <c r="C179" s="20" t="s">
        <v>406</v>
      </c>
      <c r="D179" s="20" t="s">
        <v>398</v>
      </c>
      <c r="E179" s="20" t="s">
        <v>399</v>
      </c>
      <c r="F179" s="20">
        <v>446</v>
      </c>
      <c r="G179" s="21">
        <v>0.96</v>
      </c>
      <c r="H179" s="22">
        <v>9.9999999999999994E-152</v>
      </c>
      <c r="I179" s="20">
        <v>54.5</v>
      </c>
      <c r="J179" s="20">
        <v>411</v>
      </c>
      <c r="K179" s="20" t="str">
        <f>HYPERLINK("https://www.ncbi.nlm.nih.gov/protein/WP_187302384.1?report=genbank&amp;log$=prottop&amp;blast_rank=392&amp;RID=ATFAS5CP016","WP_187302384.1")</f>
        <v>WP_187302384.1</v>
      </c>
    </row>
  </sheetData>
  <autoFilter ref="A2:K179" xr:uid="{00000000-0009-0000-0000-000005000000}">
    <sortState xmlns:xlrd2="http://schemas.microsoft.com/office/spreadsheetml/2017/richdata2" ref="A2:K179">
      <sortCondition ref="A2:A179"/>
    </sortState>
  </autoFilter>
  <phoneticPr fontId="26" type="noConversion"/>
  <hyperlinks>
    <hyperlink ref="C9" r:id="rId1" tooltip="family" xr:uid="{00000000-0004-0000-0500-000000000000}"/>
    <hyperlink ref="C151" r:id="rId2" tooltip="family" xr:uid="{00000000-0004-0000-0500-000001000000}"/>
  </hyperlink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0"/>
  <sheetViews>
    <sheetView workbookViewId="0">
      <selection activeCell="E26" sqref="E26"/>
    </sheetView>
  </sheetViews>
  <sheetFormatPr defaultColWidth="8.625" defaultRowHeight="16.5"/>
  <cols>
    <col min="1" max="1" width="37.875" style="24" customWidth="1"/>
    <col min="2" max="5" width="23.125" style="24" customWidth="1"/>
    <col min="6" max="7" width="8.625" style="24"/>
    <col min="8" max="8" width="9.875" style="24" customWidth="1"/>
    <col min="9" max="16384" width="8.625" style="24"/>
  </cols>
  <sheetData>
    <row r="1" spans="1:12">
      <c r="A1" s="119" t="s">
        <v>735</v>
      </c>
    </row>
    <row r="2" spans="1:12" s="27" customFormat="1">
      <c r="A2" s="25" t="s">
        <v>384</v>
      </c>
      <c r="B2" s="26" t="s">
        <v>385</v>
      </c>
      <c r="C2" s="26" t="s">
        <v>386</v>
      </c>
      <c r="D2" s="26" t="s">
        <v>387</v>
      </c>
      <c r="E2" s="26" t="s">
        <v>388</v>
      </c>
      <c r="F2" s="25" t="s">
        <v>389</v>
      </c>
      <c r="G2" s="25" t="s">
        <v>390</v>
      </c>
      <c r="H2" s="25" t="s">
        <v>391</v>
      </c>
      <c r="I2" s="25" t="s">
        <v>392</v>
      </c>
      <c r="J2" s="25" t="s">
        <v>393</v>
      </c>
      <c r="K2" s="25" t="s">
        <v>394</v>
      </c>
      <c r="L2" s="25"/>
    </row>
    <row r="3" spans="1:12">
      <c r="A3" s="20" t="s">
        <v>395</v>
      </c>
      <c r="B3" s="20" t="str">
        <f>VLOOKUP('Table S6B'!A166,'Table S6A'!A:C,2,FALSE)</f>
        <v> Bacillota</v>
      </c>
      <c r="C3" s="20" t="str">
        <f>VLOOKUP('Table S6B'!A166,'Table S6A'!A:C,3,FALSE)</f>
        <v>Clostridiaceae</v>
      </c>
      <c r="D3" s="20" t="str">
        <f>VLOOKUP(A3,'Table S6A'!A:E,4,FALSE)</f>
        <v>human feces</v>
      </c>
      <c r="E3" s="20" t="str">
        <f>VLOOKUP(A3,'Table S6A'!A:E,5,FALSE)</f>
        <v>Gastrointestinal tract</v>
      </c>
      <c r="F3" s="20">
        <v>441</v>
      </c>
      <c r="G3" s="21">
        <v>0.96</v>
      </c>
      <c r="H3" s="22">
        <v>3.0000000000000002E-149</v>
      </c>
      <c r="I3" s="20">
        <v>53.51</v>
      </c>
      <c r="J3" s="20">
        <v>420</v>
      </c>
      <c r="K3" s="20" t="str">
        <f>HYPERLINK("https://www.ncbi.nlm.nih.gov/protein/WP_042274519.1?report=genbank&amp;log$=prottop&amp;blast_rank=396&amp;RID=AS43UG39016","WP_042274519.1")</f>
        <v>WP_042274519.1</v>
      </c>
      <c r="L3" s="20"/>
    </row>
    <row r="4" spans="1:12">
      <c r="A4" s="20" t="s">
        <v>400</v>
      </c>
      <c r="B4" s="20" t="str">
        <f>VLOOKUP(A4,'Table S6A'!A:C,2,FALSE)</f>
        <v> Bacillota</v>
      </c>
      <c r="C4" s="20" t="str">
        <f>VLOOKUP('Table S6B'!A4,'Table S6A'!A:C,3,FALSE)</f>
        <v>Sporomusaceae</v>
      </c>
      <c r="D4" s="20" t="str">
        <f>VLOOKUP(A4,'Table S6A'!A:E,4,FALSE)</f>
        <v>gut contents of the wood-feeding termite Pterotermes occidentis</v>
      </c>
      <c r="E4" s="20" t="str">
        <f>VLOOKUP(A4,'Table S6A'!A:E,5,FALSE)</f>
        <v>Gastrointestinal tract</v>
      </c>
      <c r="F4" s="20">
        <v>489</v>
      </c>
      <c r="G4" s="21">
        <v>0.95</v>
      </c>
      <c r="H4" s="22">
        <v>2.9999999999999999E-168</v>
      </c>
      <c r="I4" s="20">
        <v>56.37</v>
      </c>
      <c r="J4" s="20">
        <v>413</v>
      </c>
      <c r="K4" s="20" t="str">
        <f>HYPERLINK("https://www.ncbi.nlm.nih.gov/protein/WP_004092743.1?report=genbank&amp;log$=prottop&amp;blast_rank=257&amp;RID=AS43UG39016","WP_004092743.1")</f>
        <v>WP_004092743.1</v>
      </c>
      <c r="L4" s="20"/>
    </row>
    <row r="5" spans="1:12">
      <c r="A5" s="20" t="s">
        <v>403</v>
      </c>
      <c r="B5" s="20" t="str">
        <f>VLOOKUP(A5,'Table S6A'!A:C,2,FALSE)</f>
        <v> Bacillota</v>
      </c>
      <c r="C5" s="20" t="str">
        <f>VLOOKUP('Table S6B'!A5,'Table S6A'!A:C,3,FALSE)</f>
        <v>Acidaminococcaceae</v>
      </c>
      <c r="D5" s="20" t="str">
        <f>VLOOKUP(A5,'Table S6A'!A:E,4,FALSE)</f>
        <v>human feces</v>
      </c>
      <c r="E5" s="20" t="str">
        <f>VLOOKUP(A5,'Table S6A'!A:E,5,FALSE)</f>
        <v>Gastrointestinal tract</v>
      </c>
      <c r="F5" s="20">
        <v>411</v>
      </c>
      <c r="G5" s="21">
        <v>0.8</v>
      </c>
      <c r="H5" s="22">
        <v>1.0000000000000001E-138</v>
      </c>
      <c r="I5" s="20">
        <v>56.98</v>
      </c>
      <c r="J5" s="20">
        <v>346</v>
      </c>
      <c r="K5" s="20" t="str">
        <f>HYPERLINK("https://www.ncbi.nlm.nih.gov/protein/MDD3396865.1?report=genbank&amp;log$=prottop&amp;blast_rank=423&amp;RID=AS43UG39016","MDD3396865.1")</f>
        <v>MDD3396865.1</v>
      </c>
      <c r="L5" s="20"/>
    </row>
    <row r="6" spans="1:12">
      <c r="A6" s="20" t="s">
        <v>405</v>
      </c>
      <c r="B6" s="20" t="str">
        <f>VLOOKUP(A6,'Table S6A'!A:C,2,FALSE)</f>
        <v> Bacillota</v>
      </c>
      <c r="C6" s="20" t="str">
        <f>VLOOKUP('Table S6B'!A6,'Table S6A'!A:C,3,FALSE)</f>
        <v>Eubacteriales Family XIII. Incertae Sedis</v>
      </c>
      <c r="D6" s="20" t="str">
        <f>VLOOKUP(A6,'Table S6A'!A:E,4,FALSE)</f>
        <v>the pit mud of strong aromatic Chinese liquor</v>
      </c>
      <c r="E6" s="20" t="str">
        <f>VLOOKUP(A6,'Table S6A'!A:E,5,FALSE)</f>
        <v>Engineered</v>
      </c>
      <c r="F6" s="20">
        <v>483</v>
      </c>
      <c r="G6" s="21">
        <v>0.96</v>
      </c>
      <c r="H6" s="22">
        <v>4.0000000000000002E-166</v>
      </c>
      <c r="I6" s="20">
        <v>56.35</v>
      </c>
      <c r="J6" s="20">
        <v>418</v>
      </c>
      <c r="K6" s="20" t="str">
        <f>HYPERLINK("https://www.ncbi.nlm.nih.gov/protein/WP_128746836.1?report=genbank&amp;log$=prottop&amp;blast_rank=278&amp;RID=AS43UG39016","WP_128746836.1")</f>
        <v>WP_128746836.1</v>
      </c>
      <c r="L6" s="20"/>
    </row>
    <row r="7" spans="1:12">
      <c r="A7" s="20" t="s">
        <v>409</v>
      </c>
      <c r="B7" s="20" t="str">
        <f>VLOOKUP(A7,'Table S6A'!A:C,2,FALSE)</f>
        <v> Bacillota</v>
      </c>
      <c r="C7" s="20" t="str">
        <f>VLOOKUP('Table S6B'!A7,'Table S6A'!A:C,3,FALSE)</f>
        <v>Clostridiaceae</v>
      </c>
      <c r="D7" s="20" t="str">
        <f>VLOOKUP(A7,'Table S6A'!A:E,4,FALSE)</f>
        <v xml:space="preserve">salt lake sediment in Xinjiang Province, China </v>
      </c>
      <c r="E7" s="20" t="str">
        <f>VLOOKUP(A7,'Table S6A'!A:E,5,FALSE)</f>
        <v>Environmental</v>
      </c>
      <c r="F7" s="20">
        <v>464</v>
      </c>
      <c r="G7" s="21">
        <v>0.96</v>
      </c>
      <c r="H7" s="22">
        <v>1.0000000000000001E-158</v>
      </c>
      <c r="I7" s="20">
        <v>55.21</v>
      </c>
      <c r="J7" s="20">
        <v>413</v>
      </c>
      <c r="K7" s="20" t="str">
        <f>HYPERLINK("https://www.ncbi.nlm.nih.gov/protein/WP_129595683.1?report=genbank&amp;log$=prottop&amp;blast_rank=328&amp;RID=AS43UG39016","WP_129595683.1")</f>
        <v>WP_129595683.1</v>
      </c>
      <c r="L7" s="20"/>
    </row>
    <row r="8" spans="1:12">
      <c r="A8" s="20" t="s">
        <v>412</v>
      </c>
      <c r="B8" s="20" t="str">
        <f>VLOOKUP(A8,'Table S6A'!A:C,2,FALSE)</f>
        <v> Bacillota</v>
      </c>
      <c r="C8" s="20" t="str">
        <f>VLOOKUP('Table S6B'!A8,'Table S6A'!A:C,3,FALSE)</f>
        <v>Erysipelotrichaceae</v>
      </c>
      <c r="D8" s="20" t="str">
        <f>VLOOKUP(A8,'Table S6A'!A:E,4,FALSE)</f>
        <v xml:space="preserve">mud snails </v>
      </c>
      <c r="E8" s="20" t="str">
        <f>VLOOKUP(A8,'Table S6A'!A:E,5,FALSE)</f>
        <v>Environmental</v>
      </c>
      <c r="F8" s="20">
        <v>489</v>
      </c>
      <c r="G8" s="21">
        <v>0.96</v>
      </c>
      <c r="H8" s="22">
        <v>1E-168</v>
      </c>
      <c r="I8" s="20">
        <v>58.15</v>
      </c>
      <c r="J8" s="20">
        <v>413</v>
      </c>
      <c r="K8" s="20" t="str">
        <f>HYPERLINK("https://www.ncbi.nlm.nih.gov/protein/WP_078712103.1?report=genbank&amp;log$=prottop&amp;blast_rank=251&amp;RID=AS43UG39016","WP_078712103.1")</f>
        <v>WP_078712103.1</v>
      </c>
      <c r="L8" s="20"/>
    </row>
    <row r="9" spans="1:12">
      <c r="A9" s="20" t="s">
        <v>415</v>
      </c>
      <c r="B9" s="20" t="str">
        <f>VLOOKUP(A9,'Table S6A'!A:C,2,FALSE)</f>
        <v> Bacillota</v>
      </c>
      <c r="C9" s="20" t="str">
        <f>VLOOKUP('Table S6B'!A9,'Table S6A'!A:C,3,FALSE)</f>
        <v>Sporanaerobacteraceae</v>
      </c>
      <c r="D9" s="20" t="str">
        <f>VLOOKUP(A9,'Table S6A'!A:E,4,FALSE)</f>
        <v>human feces</v>
      </c>
      <c r="E9" s="20" t="str">
        <f>VLOOKUP(A9,'Table S6A'!A:E,5,FALSE)</f>
        <v>Gastrointestinal tract</v>
      </c>
      <c r="F9" s="20">
        <v>472</v>
      </c>
      <c r="G9" s="21">
        <v>0.96</v>
      </c>
      <c r="H9" s="22">
        <v>7.9999999999999996E-162</v>
      </c>
      <c r="I9" s="20">
        <v>56.55</v>
      </c>
      <c r="J9" s="20">
        <v>413</v>
      </c>
      <c r="K9" s="20" t="str">
        <f>HYPERLINK("https://www.ncbi.nlm.nih.gov/protein/WP_077367917.1?report=genbank&amp;log$=prottop&amp;blast_rank=302&amp;RID=AS43UG39016","WP_077367917.1")</f>
        <v>WP_077367917.1</v>
      </c>
      <c r="L9" s="20"/>
    </row>
    <row r="10" spans="1:12">
      <c r="A10" s="20" t="s">
        <v>417</v>
      </c>
      <c r="B10" s="20" t="str">
        <f>VLOOKUP(A10,'Table S6A'!A:C,2,FALSE)</f>
        <v> Bacillota</v>
      </c>
      <c r="C10" s="20" t="str">
        <f>VLOOKUP('Table S6B'!A10,'Table S6A'!A:C,3,FALSE)</f>
        <v>Eubacteriales Family XIII. Incertae Sedis</v>
      </c>
      <c r="D10" s="20" t="str">
        <f>VLOOKUP(A10,'Table S6A'!A:E,4,FALSE)</f>
        <v>brackish water sediment</v>
      </c>
      <c r="E10" s="20" t="str">
        <f>VLOOKUP(A10,'Table S6A'!A:E,5,FALSE)</f>
        <v>Environmental</v>
      </c>
      <c r="F10" s="20">
        <v>456</v>
      </c>
      <c r="G10" s="21">
        <v>0.96</v>
      </c>
      <c r="H10" s="22">
        <v>4.0000000000000001E-155</v>
      </c>
      <c r="I10" s="20">
        <v>53.38</v>
      </c>
      <c r="J10" s="20">
        <v>418</v>
      </c>
      <c r="K10" s="20" t="str">
        <f>HYPERLINK("https://www.ncbi.nlm.nih.gov/protein/WP_027398825.1?report=genbank&amp;log$=prottop&amp;blast_rank=355&amp;RID=AS43UG39016","WP_027398825.1")</f>
        <v>WP_027398825.1</v>
      </c>
      <c r="L10" s="20"/>
    </row>
    <row r="11" spans="1:12">
      <c r="A11" s="20" t="s">
        <v>419</v>
      </c>
      <c r="B11" s="20" t="str">
        <f>VLOOKUP(A11,'Table S6A'!A:C,2,FALSE)</f>
        <v>Actinomycetota</v>
      </c>
      <c r="C11" s="20" t="str">
        <f>VLOOKUP('Table S6B'!A11,'Table S6A'!A:C,3,FALSE)</f>
        <v xml:space="preserve">Atopobiaceae </v>
      </c>
      <c r="D11" s="20" t="str">
        <f>VLOOKUP(A11,'Table S6A'!A:E,4,FALSE)</f>
        <v>human oral or gut microbiota</v>
      </c>
      <c r="E11" s="20" t="str">
        <f>VLOOKUP(A11,'Table S6A'!A:E,5,FALSE)</f>
        <v>Gastrointestinal tract</v>
      </c>
      <c r="F11" s="20">
        <v>575</v>
      </c>
      <c r="G11" s="21">
        <v>0.97</v>
      </c>
      <c r="H11" s="20">
        <v>0</v>
      </c>
      <c r="I11" s="20">
        <v>64.900000000000006</v>
      </c>
      <c r="J11" s="20">
        <v>415</v>
      </c>
      <c r="K11" s="20" t="str">
        <f>HYPERLINK("https://www.ncbi.nlm.nih.gov/protein/WP_081933327.1?report=genbank&amp;log$=prottop&amp;blast_rank=160&amp;RID=AS43UG39016","WP_081933327.1")</f>
        <v>WP_081933327.1</v>
      </c>
      <c r="L11" s="20"/>
    </row>
    <row r="12" spans="1:12">
      <c r="A12" s="20" t="s">
        <v>423</v>
      </c>
      <c r="B12" s="20" t="str">
        <f>VLOOKUP(A12,'Table S6A'!A:C,2,FALSE)</f>
        <v>Actinomycetota</v>
      </c>
      <c r="C12" s="20" t="str">
        <f>VLOOKUP('Table S6B'!A12,'Table S6A'!A:C,3,FALSE)</f>
        <v xml:space="preserve">Atopobiaceae </v>
      </c>
      <c r="D12" s="20" t="str">
        <f>VLOOKUP(A12,'Table S6A'!A:E,4,FALSE)</f>
        <v>blood of a patient with Fournier’s gangrene</v>
      </c>
      <c r="E12" s="20" t="str">
        <f>VLOOKUP(A12,'Table S6A'!A:E,5,FALSE)</f>
        <v>infection</v>
      </c>
      <c r="F12" s="20">
        <v>571</v>
      </c>
      <c r="G12" s="21">
        <v>0.97</v>
      </c>
      <c r="H12" s="20">
        <v>0</v>
      </c>
      <c r="I12" s="20">
        <v>66.02</v>
      </c>
      <c r="J12" s="20">
        <v>420</v>
      </c>
      <c r="K12" s="20" t="str">
        <f>HYPERLINK("https://www.ncbi.nlm.nih.gov/protein/KXB32960.1?report=genbank&amp;log$=prottop&amp;blast_rank=165&amp;RID=AS43UG39016","KXB32960.1")</f>
        <v>KXB32960.1</v>
      </c>
      <c r="L12" s="20"/>
    </row>
    <row r="13" spans="1:12">
      <c r="A13" s="20" t="s">
        <v>426</v>
      </c>
      <c r="B13" s="20" t="str">
        <f>VLOOKUP(A13,'Table S6A'!A:C,2,FALSE)</f>
        <v>Actinomycetota</v>
      </c>
      <c r="C13" s="20" t="str">
        <f>VLOOKUP('Table S6B'!A13,'Table S6A'!A:C,3,FALSE)</f>
        <v xml:space="preserve">Atopobiaceae </v>
      </c>
      <c r="D13" s="20" t="str">
        <f>VLOOKUP(A13,'Table S6A'!A:E,4,FALSE)</f>
        <v>horse, submandilar abscess</v>
      </c>
      <c r="E13" s="20" t="str">
        <f>VLOOKUP(A13,'Table S6A'!A:E,5,FALSE)</f>
        <v>infection</v>
      </c>
      <c r="F13" s="20">
        <v>636</v>
      </c>
      <c r="G13" s="21">
        <v>0.96</v>
      </c>
      <c r="H13" s="20">
        <v>0</v>
      </c>
      <c r="I13" s="20">
        <v>75.12</v>
      </c>
      <c r="J13" s="20">
        <v>415</v>
      </c>
      <c r="K13" s="20" t="str">
        <f>HYPERLINK("https://www.ncbi.nlm.nih.gov/protein/WP_028263724.1?report=genbank&amp;log$=prottop&amp;blast_rank=113&amp;RID=AS43UG39016","WP_028263724.1")</f>
        <v>WP_028263724.1</v>
      </c>
      <c r="L13" s="20"/>
    </row>
    <row r="14" spans="1:12">
      <c r="A14" s="20" t="s">
        <v>428</v>
      </c>
      <c r="B14" s="20" t="str">
        <f>VLOOKUP(A14,'Table S6A'!A:C,2,FALSE)</f>
        <v>Actinomycetota</v>
      </c>
      <c r="C14" s="20" t="str">
        <f>VLOOKUP('Table S6B'!A14,'Table S6A'!A:C,3,FALSE)</f>
        <v xml:space="preserve">Atopobiaceae </v>
      </c>
      <c r="D14" s="20" t="str">
        <f>VLOOKUP(A14,'Table S6A'!A:E,4,FALSE)</f>
        <v>a perineal abscess</v>
      </c>
      <c r="E14" s="20" t="str">
        <f>VLOOKUP(A14,'Table S6A'!A:E,5,FALSE)</f>
        <v>infection</v>
      </c>
      <c r="F14" s="20">
        <v>578</v>
      </c>
      <c r="G14" s="21">
        <v>0.95</v>
      </c>
      <c r="H14" s="20">
        <v>0</v>
      </c>
      <c r="I14" s="20">
        <v>68.06</v>
      </c>
      <c r="J14" s="20">
        <v>406</v>
      </c>
      <c r="K14" s="20" t="str">
        <f>HYPERLINK("https://www.ncbi.nlm.nih.gov/protein/KRN55347.1?report=genbank&amp;log$=prottop&amp;blast_rank=156&amp;RID=AS43UG39016","KRN55347.1")</f>
        <v>KRN55347.1</v>
      </c>
      <c r="L14" s="20"/>
    </row>
    <row r="15" spans="1:12">
      <c r="A15" s="20" t="s">
        <v>430</v>
      </c>
      <c r="B15" s="20" t="str">
        <f>VLOOKUP(A15,'Table S6A'!A:C,2,FALSE)</f>
        <v>Actinomycetota</v>
      </c>
      <c r="C15" s="20" t="str">
        <f>VLOOKUP('Table S6B'!A15,'Table S6A'!A:C,3,FALSE)</f>
        <v xml:space="preserve">Atopobiaceae </v>
      </c>
      <c r="D15" s="20" t="str">
        <f>VLOOKUP(A15,'Table S6A'!A:E,4,FALSE)</f>
        <v>human oral</v>
      </c>
      <c r="E15" s="20" t="str">
        <f>VLOOKUP(A15,'Table S6A'!A:E,5,FALSE)</f>
        <v>Gastrointestinal tract</v>
      </c>
      <c r="F15" s="20">
        <v>613</v>
      </c>
      <c r="G15" s="21">
        <v>0.97</v>
      </c>
      <c r="H15" s="20">
        <v>0</v>
      </c>
      <c r="I15" s="20">
        <v>71.150000000000006</v>
      </c>
      <c r="J15" s="20">
        <v>415</v>
      </c>
      <c r="K15" s="20" t="str">
        <f>HYPERLINK("https://www.ncbi.nlm.nih.gov/protein/MBF0915710.1?report=genbank&amp;log$=prottop&amp;blast_rank=120&amp;RID=AS43UG39016","MBF0915710.1")</f>
        <v>MBF0915710.1</v>
      </c>
      <c r="L15" s="20"/>
    </row>
    <row r="16" spans="1:12">
      <c r="A16" s="20" t="s">
        <v>432</v>
      </c>
      <c r="B16" s="20" t="str">
        <f>VLOOKUP(A16,'Table S6A'!A:C,2,FALSE)</f>
        <v>Actinomycetota</v>
      </c>
      <c r="C16" s="20" t="str">
        <f>VLOOKUP('Table S6B'!A16,'Table S6A'!A:C,3,FALSE)</f>
        <v xml:space="preserve">Atopobiaceae </v>
      </c>
      <c r="D16" s="20" t="str">
        <f>VLOOKUP(A16,'Table S6A'!A:E,4,FALSE)</f>
        <v>the gut of a termite</v>
      </c>
      <c r="E16" s="20" t="str">
        <f>VLOOKUP(A16,'Table S6A'!A:E,5,FALSE)</f>
        <v>Gastrointestinal tract</v>
      </c>
      <c r="F16" s="20">
        <v>608</v>
      </c>
      <c r="G16" s="21">
        <v>0.97</v>
      </c>
      <c r="H16" s="20">
        <v>0</v>
      </c>
      <c r="I16" s="20">
        <v>70.91</v>
      </c>
      <c r="J16" s="20">
        <v>415</v>
      </c>
      <c r="K16" s="20" t="str">
        <f>HYPERLINK("https://www.ncbi.nlm.nih.gov/protein/WP_035435661.1?report=genbank&amp;log$=prottop&amp;blast_rank=127&amp;RID=AS43UG39016","WP_035435661.1")</f>
        <v>WP_035435661.1</v>
      </c>
      <c r="L16" s="20"/>
    </row>
    <row r="17" spans="1:12">
      <c r="A17" s="20" t="s">
        <v>434</v>
      </c>
      <c r="B17" s="20" t="str">
        <f>VLOOKUP(A17,'Table S6A'!A:C,2,FALSE)</f>
        <v>Actinomycetota</v>
      </c>
      <c r="C17" s="20" t="str">
        <f>VLOOKUP('Table S6B'!A17,'Table S6A'!A:C,3,FALSE)</f>
        <v xml:space="preserve">Atopobiaceae </v>
      </c>
      <c r="D17" s="20" t="str">
        <f>VLOOKUP(A17,'Table S6A'!A:E,4,FALSE)</f>
        <v>the gut of a termite </v>
      </c>
      <c r="E17" s="20" t="str">
        <f>VLOOKUP(A17,'Table S6A'!A:E,5,FALSE)</f>
        <v>Gastrointestinal tract</v>
      </c>
      <c r="F17" s="20">
        <v>607</v>
      </c>
      <c r="G17" s="21">
        <v>0.97</v>
      </c>
      <c r="H17" s="20">
        <v>0</v>
      </c>
      <c r="I17" s="20">
        <v>70.67</v>
      </c>
      <c r="J17" s="20">
        <v>415</v>
      </c>
      <c r="K17" s="20" t="str">
        <f>HYPERLINK("https://www.ncbi.nlm.nih.gov/protein/WP_035428407.1?report=genbank&amp;log$=prottop&amp;blast_rank=130&amp;RID=AS43UG39016","WP_035428407.1")</f>
        <v>WP_035428407.1</v>
      </c>
      <c r="L17" s="20"/>
    </row>
    <row r="18" spans="1:12">
      <c r="A18" s="20" t="s">
        <v>436</v>
      </c>
      <c r="B18" s="20" t="str">
        <f>VLOOKUP(A18,'Table S6A'!A:C,2,FALSE)</f>
        <v>Actinomycetota</v>
      </c>
      <c r="C18" s="20" t="str">
        <f>VLOOKUP('Table S6B'!A18,'Table S6A'!A:C,3,FALSE)</f>
        <v xml:space="preserve">Atopobiaceae </v>
      </c>
      <c r="D18" s="20" t="str">
        <f>VLOOKUP(A18,'Table S6A'!A:E,4,FALSE)</f>
        <v>human oral cavity </v>
      </c>
      <c r="E18" s="20" t="str">
        <f>VLOOKUP(A18,'Table S6A'!A:E,5,FALSE)</f>
        <v>Gastrointestinal tract</v>
      </c>
      <c r="F18" s="20">
        <v>615</v>
      </c>
      <c r="G18" s="21">
        <v>0.97</v>
      </c>
      <c r="H18" s="20">
        <v>0</v>
      </c>
      <c r="I18" s="20">
        <v>71.08</v>
      </c>
      <c r="J18" s="20">
        <v>415</v>
      </c>
      <c r="K18" s="20" t="str">
        <f>HYPERLINK("https://www.ncbi.nlm.nih.gov/protein/WP_016478099.1?report=genbank&amp;log$=prottop&amp;blast_rank=116&amp;RID=AS43UG39016","WP_016478099.1")</f>
        <v>WP_016478099.1</v>
      </c>
      <c r="L18" s="20"/>
    </row>
    <row r="19" spans="1:12">
      <c r="A19" s="20" t="s">
        <v>438</v>
      </c>
      <c r="B19" s="20" t="str">
        <f>VLOOKUP(A19,'Table S6A'!A:C,2,FALSE)</f>
        <v>Bacteroidota</v>
      </c>
      <c r="C19" s="20" t="str">
        <f>VLOOKUP('Table S6B'!A19,'Table S6A'!A:C,3,FALSE)</f>
        <v>unclassified Bacteroidales</v>
      </c>
      <c r="D19" s="20" t="str">
        <f>VLOOKUP(A19,'Table S6A'!A:E,4,FALSE)</f>
        <v>human feces</v>
      </c>
      <c r="E19" s="20" t="str">
        <f>VLOOKUP(A19,'Table S6A'!A:E,5,FALSE)</f>
        <v>Gastrointestinal tract</v>
      </c>
      <c r="F19" s="20">
        <v>462</v>
      </c>
      <c r="G19" s="21">
        <v>0.94</v>
      </c>
      <c r="H19" s="22">
        <v>4.0000000000000003E-158</v>
      </c>
      <c r="I19" s="20">
        <v>56.68</v>
      </c>
      <c r="J19" s="20">
        <v>404</v>
      </c>
      <c r="K19" s="20" t="str">
        <f>HYPERLINK("https://www.ncbi.nlm.nih.gov/protein/MBV1821068.1?report=genbank&amp;log$=prottop&amp;blast_rank=334&amp;RID=AS43UG39016","MBV1821068.1")</f>
        <v>MBV1821068.1</v>
      </c>
      <c r="L19" s="20"/>
    </row>
    <row r="20" spans="1:12">
      <c r="A20" s="20" t="s">
        <v>441</v>
      </c>
      <c r="B20" s="20" t="str">
        <f>VLOOKUP(A20,'Table S6A'!A:C,2,FALSE)</f>
        <v>Actinomycetota</v>
      </c>
      <c r="C20" s="20" t="str">
        <f>VLOOKUP('Table S6B'!A20,'Table S6A'!A:C,3,FALSE)</f>
        <v>Bifidobacteriaceae</v>
      </c>
      <c r="D20" s="20" t="str">
        <f>VLOOKUP(A20,'Table S6A'!A:E,4,FALSE)</f>
        <v>human feces</v>
      </c>
      <c r="E20" s="20" t="str">
        <f>VLOOKUP(A20,'Table S6A'!A:E,5,FALSE)</f>
        <v>Gastrointestinal tract</v>
      </c>
      <c r="F20" s="20">
        <v>439</v>
      </c>
      <c r="G20" s="21">
        <v>0.96</v>
      </c>
      <c r="H20" s="22">
        <v>9.9999999999999994E-149</v>
      </c>
      <c r="I20" s="20">
        <v>54.94</v>
      </c>
      <c r="J20" s="20">
        <v>415</v>
      </c>
      <c r="K20" s="20" t="str">
        <f>HYPERLINK("https://www.ncbi.nlm.nih.gov/protein/WP_049183860.1?report=genbank&amp;log$=prottop&amp;blast_rank=401&amp;RID=AS43UG39016","WP_049183860.1")</f>
        <v>WP_049183860.1</v>
      </c>
      <c r="L20" s="20"/>
    </row>
    <row r="21" spans="1:12">
      <c r="A21" s="20" t="s">
        <v>443</v>
      </c>
      <c r="B21" s="20" t="str">
        <f>VLOOKUP(A21,'Table S6A'!A:C,2,FALSE)</f>
        <v>Actinomycetota</v>
      </c>
      <c r="C21" s="20" t="str">
        <f>VLOOKUP('Table S6B'!A21,'Table S6A'!A:C,3,FALSE)</f>
        <v>Bifidobacteriaceae</v>
      </c>
      <c r="D21" s="20" t="str">
        <f>VLOOKUP(A21,'Table S6A'!A:E,4,FALSE)</f>
        <v>the feces of Rousettus aegyptiacus</v>
      </c>
      <c r="E21" s="20" t="str">
        <f>VLOOKUP(A21,'Table S6A'!A:E,5,FALSE)</f>
        <v>Gastrointestinal tract</v>
      </c>
      <c r="F21" s="20">
        <v>424</v>
      </c>
      <c r="G21" s="21">
        <v>0.96</v>
      </c>
      <c r="H21" s="22">
        <v>5.0000000000000002E-143</v>
      </c>
      <c r="I21" s="20">
        <v>53.28</v>
      </c>
      <c r="J21" s="20">
        <v>415</v>
      </c>
      <c r="K21" s="20" t="str">
        <f>HYPERLINK("https://www.ncbi.nlm.nih.gov/protein/WP_214383394.1?report=genbank&amp;log$=prottop&amp;blast_rank=417&amp;RID=AS43UG39016","WP_214383394.1")</f>
        <v>WP_214383394.1</v>
      </c>
      <c r="L21" s="20"/>
    </row>
    <row r="22" spans="1:12">
      <c r="A22" s="20" t="s">
        <v>445</v>
      </c>
      <c r="B22" s="20" t="str">
        <f>VLOOKUP(A22,'Table S6A'!A:C,2,FALSE)</f>
        <v> Bacillota</v>
      </c>
      <c r="C22" s="20" t="str">
        <f>VLOOKUP('Table S6B'!A22,'Table S6A'!A:C,3,FALSE)</f>
        <v>Lachnospiraceae</v>
      </c>
      <c r="D22" s="20" t="str">
        <f>VLOOKUP(A22,'Table S6A'!A:E,4,FALSE)</f>
        <v>mouse feces</v>
      </c>
      <c r="E22" s="20" t="str">
        <f>VLOOKUP(A22,'Table S6A'!A:E,5,FALSE)</f>
        <v>Gastrointestinal tract</v>
      </c>
      <c r="F22" s="20">
        <v>496</v>
      </c>
      <c r="G22" s="21">
        <v>0.96</v>
      </c>
      <c r="H22" s="22">
        <v>3.9999999999999999E-171</v>
      </c>
      <c r="I22" s="20">
        <v>57.83</v>
      </c>
      <c r="J22" s="20">
        <v>417</v>
      </c>
      <c r="K22" s="20" t="str">
        <f>HYPERLINK("https://www.ncbi.nlm.nih.gov/protein/WP_257414620.1?report=genbank&amp;log$=prottop&amp;blast_rank=218&amp;RID=AS43UG39016","WP_257414620.1")</f>
        <v>WP_257414620.1</v>
      </c>
      <c r="L22" s="20"/>
    </row>
    <row r="23" spans="1:12">
      <c r="A23" s="20" t="s">
        <v>448</v>
      </c>
      <c r="B23" s="20" t="str">
        <f>VLOOKUP(A23,'Table S6A'!A:C,2,FALSE)</f>
        <v> Bacillota</v>
      </c>
      <c r="C23" s="20" t="str">
        <f>VLOOKUP('Table S6B'!A23,'Table S6A'!A:C,3,FALSE)</f>
        <v>Lachnospiraceae</v>
      </c>
      <c r="D23" s="20" t="str">
        <f>VLOOKUP(A23,'Table S6A'!A:E,4,FALSE)</f>
        <v>human feces</v>
      </c>
      <c r="E23" s="20" t="str">
        <f>VLOOKUP(A23,'Table S6A'!A:E,5,FALSE)</f>
        <v>Gastrointestinal tract</v>
      </c>
      <c r="F23" s="20">
        <v>496</v>
      </c>
      <c r="G23" s="21">
        <v>0.96</v>
      </c>
      <c r="H23" s="22">
        <v>2E-171</v>
      </c>
      <c r="I23" s="20">
        <v>57.38</v>
      </c>
      <c r="J23" s="20">
        <v>415</v>
      </c>
      <c r="K23" s="20" t="str">
        <f>HYPERLINK("https://www.ncbi.nlm.nih.gov/protein/WP_227245283.1?report=genbank&amp;log$=prottop&amp;blast_rank=213&amp;RID=AS43UG39016","WP_227245283.1")</f>
        <v>WP_227245283.1</v>
      </c>
      <c r="L23" s="20"/>
    </row>
    <row r="24" spans="1:12">
      <c r="A24" s="20" t="s">
        <v>449</v>
      </c>
      <c r="B24" s="20" t="str">
        <f>VLOOKUP(A24,'Table S6A'!A:C,2,FALSE)</f>
        <v> Bacillota</v>
      </c>
      <c r="C24" s="20" t="str">
        <f>VLOOKUP('Table S6B'!A24,'Table S6A'!A:C,3,FALSE)</f>
        <v>Lachnospiraceae</v>
      </c>
      <c r="D24" s="20" t="str">
        <f>VLOOKUP(A24,'Table S6A'!A:E,4,FALSE)</f>
        <v>human feces</v>
      </c>
      <c r="E24" s="20" t="str">
        <f>VLOOKUP(A24,'Table S6A'!A:E,5,FALSE)</f>
        <v>Gastrointestinal tract</v>
      </c>
      <c r="F24" s="20">
        <v>497</v>
      </c>
      <c r="G24" s="21">
        <v>0.96</v>
      </c>
      <c r="H24" s="22">
        <v>9.9999999999999998E-172</v>
      </c>
      <c r="I24" s="20">
        <v>57.38</v>
      </c>
      <c r="J24" s="20">
        <v>415</v>
      </c>
      <c r="K24" s="20" t="str">
        <f>HYPERLINK("https://www.ncbi.nlm.nih.gov/protein/WP_033142171.1?report=genbank&amp;log$=prottop&amp;blast_rank=211&amp;RID=AS43UG39016","WP_033142171.1")</f>
        <v>WP_033142171.1</v>
      </c>
      <c r="L24" s="20"/>
    </row>
    <row r="25" spans="1:12">
      <c r="A25" s="20" t="s">
        <v>450</v>
      </c>
      <c r="B25" s="20" t="str">
        <f>VLOOKUP(A25,'Table S6A'!A:C,2,FALSE)</f>
        <v> Bacillota</v>
      </c>
      <c r="C25" s="20" t="str">
        <f>VLOOKUP('Table S6B'!A25,'Table S6A'!A:C,3,FALSE)</f>
        <v>Lachnospiraceae</v>
      </c>
      <c r="D25" s="20" t="str">
        <f>VLOOKUP(A25,'Table S6A'!A:E,4,FALSE)</f>
        <v>the rumen of suckling lamb</v>
      </c>
      <c r="E25" s="20" t="str">
        <f>VLOOKUP(A25,'Table S6A'!A:E,5,FALSE)</f>
        <v>Gastrointestinal tract</v>
      </c>
      <c r="F25" s="20">
        <v>482</v>
      </c>
      <c r="G25" s="21">
        <v>0.95</v>
      </c>
      <c r="H25" s="22">
        <v>1E-165</v>
      </c>
      <c r="I25" s="20">
        <v>56.48</v>
      </c>
      <c r="J25" s="20">
        <v>413</v>
      </c>
      <c r="K25" s="20" t="str">
        <f>HYPERLINK("https://www.ncbi.nlm.nih.gov/protein/MDC7291030.1?report=genbank&amp;log$=prottop&amp;blast_rank=281&amp;RID=AS43UG39016","MDC7291030.1")</f>
        <v>MDC7291030.1</v>
      </c>
      <c r="L25" s="20"/>
    </row>
    <row r="26" spans="1:12">
      <c r="A26" s="20" t="s">
        <v>452</v>
      </c>
      <c r="B26" s="20" t="str">
        <f>VLOOKUP(A26,'Table S6A'!A:C,2,FALSE)</f>
        <v> Bacillota</v>
      </c>
      <c r="C26" s="20" t="str">
        <f>VLOOKUP('Table S6B'!A26,'Table S6A'!A:C,3,FALSE)</f>
        <v>Lachnospiraceae</v>
      </c>
      <c r="D26" s="20" t="str">
        <f>VLOOKUP(A26,'Table S6A'!A:E,4,FALSE)</f>
        <v>Porpoise lung</v>
      </c>
      <c r="E26" s="20" t="str">
        <f>VLOOKUP(A26,'Table S6A'!A:E,5,FALSE)</f>
        <v>Gastrointestinal tract</v>
      </c>
      <c r="F26" s="20">
        <v>492</v>
      </c>
      <c r="G26" s="21">
        <v>0.96</v>
      </c>
      <c r="H26" s="22">
        <v>2E-169</v>
      </c>
      <c r="I26" s="20">
        <v>57.59</v>
      </c>
      <c r="J26" s="20">
        <v>417</v>
      </c>
      <c r="K26" s="20" t="str">
        <f>HYPERLINK("https://www.ncbi.nlm.nih.gov/protein/WP_287713503.1?report=genbank&amp;log$=prottop&amp;blast_rank=235&amp;RID=AS43UG39016","WP_287713503.1")</f>
        <v>WP_287713503.1</v>
      </c>
      <c r="L26" s="20"/>
    </row>
    <row r="27" spans="1:12">
      <c r="A27" s="20" t="s">
        <v>454</v>
      </c>
      <c r="B27" s="20" t="str">
        <f>VLOOKUP(A27,'Table S6A'!A:C,2,FALSE)</f>
        <v> Bacillota</v>
      </c>
      <c r="C27" s="20" t="str">
        <f>VLOOKUP('Table S6B'!A27,'Table S6A'!A:C,3,FALSE)</f>
        <v>Lachnospiraceae</v>
      </c>
      <c r="D27" s="20" t="str">
        <f>VLOOKUP(A27,'Table S6A'!A:E,4,FALSE)</f>
        <v>human feces</v>
      </c>
      <c r="E27" s="20" t="str">
        <f>VLOOKUP(A27,'Table S6A'!A:E,5,FALSE)</f>
        <v>Gastrointestinal tract</v>
      </c>
      <c r="F27" s="20">
        <v>499</v>
      </c>
      <c r="G27" s="21">
        <v>0.96</v>
      </c>
      <c r="H27" s="22">
        <v>2.9999999999999998E-172</v>
      </c>
      <c r="I27" s="20">
        <v>57.63</v>
      </c>
      <c r="J27" s="20">
        <v>415</v>
      </c>
      <c r="K27" s="20" t="str">
        <f>HYPERLINK("https://www.ncbi.nlm.nih.gov/protein/WP_244805996.1?report=genbank&amp;log$=prottop&amp;blast_rank=208&amp;RID=AS43UG39016","WP_244805996.1")</f>
        <v>WP_244805996.1</v>
      </c>
      <c r="L27" s="20"/>
    </row>
    <row r="28" spans="1:12">
      <c r="A28" s="20" t="s">
        <v>455</v>
      </c>
      <c r="B28" s="20" t="str">
        <f>VLOOKUP(A28,'Table S6A'!A:C,2,FALSE)</f>
        <v>Actinomycetota</v>
      </c>
      <c r="C28" s="20" t="str">
        <f>VLOOKUP('Table S6B'!A28,'Table S6A'!A:C,3,FALSE)</f>
        <v>Actinomycetaceae</v>
      </c>
      <c r="D28" s="20" t="str">
        <f>VLOOKUP(A28,'Table S6A'!A:E,4,FALSE)</f>
        <v>Porpoise lung</v>
      </c>
      <c r="E28" s="20" t="str">
        <f>VLOOKUP(A28,'Table S6A'!A:E,5,FALSE)</f>
        <v>Gastrointestinal tract</v>
      </c>
      <c r="F28" s="20">
        <v>472</v>
      </c>
      <c r="G28" s="21">
        <v>0.97</v>
      </c>
      <c r="H28" s="22">
        <v>1E-161</v>
      </c>
      <c r="I28" s="20">
        <v>55.42</v>
      </c>
      <c r="J28" s="20">
        <v>413</v>
      </c>
      <c r="K28" s="20" t="str">
        <f>HYPERLINK("https://www.ncbi.nlm.nih.gov/protein/WP_245792782.1?report=genbank&amp;log$=prottop&amp;blast_rank=303&amp;RID=AS43UG39016","WP_245792782.1")</f>
        <v>WP_245792782.1</v>
      </c>
      <c r="L28" s="20"/>
    </row>
    <row r="29" spans="1:12">
      <c r="A29" s="20" t="s">
        <v>457</v>
      </c>
      <c r="B29" s="20" t="str">
        <f>VLOOKUP(A29,'Table S6A'!A:C,2,FALSE)</f>
        <v> Bacillota</v>
      </c>
      <c r="C29" s="20" t="s">
        <v>469</v>
      </c>
      <c r="D29" s="20" t="str">
        <f>VLOOKUP(A29,'Table S6A'!A:E,4,FALSE)</f>
        <v>human feces</v>
      </c>
      <c r="E29" s="20" t="str">
        <f>VLOOKUP(A29,'Table S6A'!A:E,5,FALSE)</f>
        <v>Gastrointestinal tract</v>
      </c>
      <c r="F29" s="20">
        <v>503</v>
      </c>
      <c r="G29" s="21">
        <v>0.96</v>
      </c>
      <c r="H29" s="22">
        <v>4E-174</v>
      </c>
      <c r="I29" s="20">
        <v>58.7</v>
      </c>
      <c r="J29" s="20">
        <v>414</v>
      </c>
      <c r="K29" s="20" t="str">
        <f>HYPERLINK("https://www.ncbi.nlm.nih.gov/protein/WP_147594570.1?report=genbank&amp;log$=prottop&amp;blast_rank=200&amp;RID=AS43UG39016","WP_147594570.1")</f>
        <v>WP_147594570.1</v>
      </c>
      <c r="L29" s="20"/>
    </row>
    <row r="30" spans="1:12">
      <c r="A30" s="20" t="s">
        <v>459</v>
      </c>
      <c r="B30" s="20" t="s">
        <v>396</v>
      </c>
      <c r="C30" s="20" t="s">
        <v>404</v>
      </c>
      <c r="D30" s="20" t="str">
        <f>VLOOKUP(A30,'Table S6A'!A:E,4,FALSE)</f>
        <v>chicken gut</v>
      </c>
      <c r="E30" s="20" t="str">
        <f>VLOOKUP(A30,'Table S6A'!A:E,5,FALSE)</f>
        <v>Gastrointestinal tract</v>
      </c>
      <c r="F30" s="20">
        <v>490</v>
      </c>
      <c r="G30" s="21">
        <v>0.96</v>
      </c>
      <c r="H30" s="22">
        <v>5.9999999999999998E-169</v>
      </c>
      <c r="I30" s="20">
        <v>57.66</v>
      </c>
      <c r="J30" s="20">
        <v>411</v>
      </c>
      <c r="K30" s="20" t="str">
        <f>HYPERLINK("https://www.ncbi.nlm.nih.gov/protein/HIU63668.1?report=genbank&amp;log$=prottop&amp;blast_rank=247&amp;RID=AS43UG39016","HIU63668.1")</f>
        <v>HIU63668.1</v>
      </c>
      <c r="L30" s="20"/>
    </row>
    <row r="31" spans="1:12">
      <c r="A31" s="20" t="s">
        <v>462</v>
      </c>
      <c r="B31" s="20" t="str">
        <f>VLOOKUP(A31,'Table S6A'!A:C,2,FALSE)</f>
        <v>Actinomycetota</v>
      </c>
      <c r="C31" s="20" t="str">
        <f>VLOOKUP('Table S6B'!A31,'Table S6A'!A:C,3,FALSE)</f>
        <v>Coriobacteriaceae</v>
      </c>
      <c r="D31" s="20" t="str">
        <f>VLOOKUP(A31,'Table S6A'!A:E,4,FALSE)</f>
        <v>chicken gut</v>
      </c>
      <c r="E31" s="20" t="str">
        <f>VLOOKUP(A31,'Table S6A'!A:E,5,FALSE)</f>
        <v>Gastrointestinal tract</v>
      </c>
      <c r="F31" s="20">
        <v>734</v>
      </c>
      <c r="G31" s="21">
        <v>1</v>
      </c>
      <c r="H31" s="20">
        <v>0</v>
      </c>
      <c r="I31" s="20">
        <v>83.53</v>
      </c>
      <c r="J31" s="20">
        <v>424</v>
      </c>
      <c r="K31" s="20" t="str">
        <f>HYPERLINK("https://www.ncbi.nlm.nih.gov/protein/WP_270847763.1?report=genbank&amp;log$=prottop&amp;blast_rank=110&amp;RID=AS43UG39016","WP_270847763.1")</f>
        <v>WP_270847763.1</v>
      </c>
      <c r="L31" s="20"/>
    </row>
    <row r="32" spans="1:12">
      <c r="A32" s="20" t="s">
        <v>464</v>
      </c>
      <c r="B32" s="20" t="str">
        <f>VLOOKUP(A32,'Table S6A'!A:C,2,FALSE)</f>
        <v> Bacillota</v>
      </c>
      <c r="C32" s="20" t="str">
        <f>VLOOKUP('Table S6B'!A32,'Table S6A'!A:C,3,FALSE)</f>
        <v>Eubacteriaceae</v>
      </c>
      <c r="D32" s="20" t="str">
        <f>VLOOKUP(A32,'Table S6A'!A:E,4,FALSE)</f>
        <v>chicken gut</v>
      </c>
      <c r="E32" s="20" t="str">
        <f>VLOOKUP(A32,'Table S6A'!A:E,5,FALSE)</f>
        <v>Gastrointestinal tract</v>
      </c>
      <c r="F32" s="20">
        <v>495</v>
      </c>
      <c r="G32" s="21">
        <v>0.95</v>
      </c>
      <c r="H32" s="22">
        <v>9.9999999999999998E-171</v>
      </c>
      <c r="I32" s="20">
        <v>58.21</v>
      </c>
      <c r="J32" s="20">
        <v>423</v>
      </c>
      <c r="K32" s="20" t="str">
        <f>HYPERLINK("https://www.ncbi.nlm.nih.gov/protein/HIU96688.1?report=genbank&amp;log$=prottop&amp;blast_rank=221&amp;RID=AS43UG39016","HIU96688.1")</f>
        <v>HIU96688.1</v>
      </c>
      <c r="L32" s="20"/>
    </row>
    <row r="33" spans="1:12">
      <c r="A33" s="20" t="s">
        <v>466</v>
      </c>
      <c r="B33" s="20" t="str">
        <f>VLOOKUP(A33,'Table S6A'!A:C,2,FALSE)</f>
        <v> Bacillota</v>
      </c>
      <c r="C33" s="20" t="str">
        <f>VLOOKUP('Table S6B'!A33,'Table S6A'!A:C,3,FALSE)</f>
        <v>Oscillospiraceae</v>
      </c>
      <c r="D33" s="20" t="str">
        <f>VLOOKUP(A33,'Table S6A'!A:E,4,FALSE)</f>
        <v>chicken gut</v>
      </c>
      <c r="E33" s="20" t="str">
        <f>VLOOKUP(A33,'Table S6A'!A:E,5,FALSE)</f>
        <v>Gastrointestinal tract</v>
      </c>
      <c r="F33" s="20">
        <v>492</v>
      </c>
      <c r="G33" s="21">
        <v>0.96</v>
      </c>
      <c r="H33" s="22">
        <v>2E-169</v>
      </c>
      <c r="I33" s="20">
        <v>58.45</v>
      </c>
      <c r="J33" s="20">
        <v>413</v>
      </c>
      <c r="K33" s="20" t="str">
        <f>HYPERLINK("https://www.ncbi.nlm.nih.gov/protein/HIX06458.1?report=genbank&amp;log$=prottop&amp;blast_rank=233&amp;RID=AS43UG39016","HIX06458.1")</f>
        <v>HIX06458.1</v>
      </c>
      <c r="L33" s="20"/>
    </row>
    <row r="34" spans="1:12">
      <c r="A34" s="20" t="s">
        <v>468</v>
      </c>
      <c r="B34" s="20" t="str">
        <f>VLOOKUP(A34,'Table S6A'!A:C,2,FALSE)</f>
        <v> Bacillota</v>
      </c>
      <c r="C34" s="20" t="s">
        <v>469</v>
      </c>
      <c r="D34" s="20" t="str">
        <f>VLOOKUP(A34,'Table S6A'!A:E,4,FALSE)</f>
        <v>chicken gut</v>
      </c>
      <c r="E34" s="20" t="str">
        <f>VLOOKUP(A34,'Table S6A'!A:E,5,FALSE)</f>
        <v>Gastrointestinal tract</v>
      </c>
      <c r="F34" s="20">
        <v>486</v>
      </c>
      <c r="G34" s="21">
        <v>0.96</v>
      </c>
      <c r="H34" s="22">
        <v>4E-167</v>
      </c>
      <c r="I34" s="20">
        <v>58.35</v>
      </c>
      <c r="J34" s="20">
        <v>413</v>
      </c>
      <c r="K34" s="20" t="str">
        <f>HYPERLINK("https://www.ncbi.nlm.nih.gov/protein/HIZ43024.1?report=genbank&amp;log$=prottop&amp;blast_rank=267&amp;RID=AS43UG39016","HIZ43024.1")</f>
        <v>HIZ43024.1</v>
      </c>
      <c r="L34" s="20"/>
    </row>
    <row r="35" spans="1:12">
      <c r="A35" s="20" t="s">
        <v>470</v>
      </c>
      <c r="B35" s="20" t="str">
        <f>VLOOKUP(A35,'Table S6A'!A:C,2,FALSE)</f>
        <v> Bacillota</v>
      </c>
      <c r="C35" s="20" t="str">
        <f>VLOOKUP('Table S6B'!A35,'Table S6A'!A:C,3,FALSE)</f>
        <v>Oscillospiraceae</v>
      </c>
      <c r="D35" s="20" t="str">
        <f>VLOOKUP(A35,'Table S6A'!A:E,4,FALSE)</f>
        <v>the wastewater treatment plant</v>
      </c>
      <c r="E35" s="20" t="str">
        <f>VLOOKUP(A35,'Table S6A'!A:E,5,FALSE)</f>
        <v>Engineered</v>
      </c>
      <c r="F35" s="20">
        <v>488</v>
      </c>
      <c r="G35" s="21">
        <v>0.97</v>
      </c>
      <c r="H35" s="22">
        <v>6.9999999999999996E-168</v>
      </c>
      <c r="I35" s="20">
        <v>56.97</v>
      </c>
      <c r="J35" s="20">
        <v>414</v>
      </c>
      <c r="K35" s="20" t="str">
        <f>HYPERLINK("https://www.ncbi.nlm.nih.gov/protein/WP_268057614.1?report=genbank&amp;log$=prottop&amp;blast_rank=261&amp;RID=AS43UG39016","WP_268057614.1")</f>
        <v>WP_268057614.1</v>
      </c>
      <c r="L35" s="20"/>
    </row>
    <row r="36" spans="1:12">
      <c r="A36" s="20" t="s">
        <v>472</v>
      </c>
      <c r="B36" s="20" t="str">
        <f>VLOOKUP(A36,'Table S6A'!A:C,2,FALSE)</f>
        <v> Bacillota</v>
      </c>
      <c r="C36" s="20" t="str">
        <f>VLOOKUP('Table S6B'!A36,'Table S6A'!A:C,3,FALSE)</f>
        <v>Clostridiaceae</v>
      </c>
      <c r="D36" s="20" t="str">
        <f>VLOOKUP(A36,'Table S6A'!A:E,4,FALSE)</f>
        <v>soil</v>
      </c>
      <c r="E36" s="20" t="str">
        <f>VLOOKUP(A36,'Table S6A'!A:E,5,FALSE)</f>
        <v>Environmental</v>
      </c>
      <c r="F36" s="20">
        <v>457</v>
      </c>
      <c r="G36" s="21">
        <v>0.96</v>
      </c>
      <c r="H36" s="22">
        <v>8.0000000000000003E-156</v>
      </c>
      <c r="I36" s="20">
        <v>54.24</v>
      </c>
      <c r="J36" s="20">
        <v>412</v>
      </c>
      <c r="K36" s="20" t="str">
        <f>HYPERLINK("https://www.ncbi.nlm.nih.gov/protein/AWZ48544.1?report=genbank&amp;log$=prottop&amp;blast_rank=347&amp;RID=AS43UG39016","AWZ48544.1")</f>
        <v>AWZ48544.1</v>
      </c>
      <c r="L36" s="20"/>
    </row>
    <row r="37" spans="1:12">
      <c r="A37" s="20" t="s">
        <v>474</v>
      </c>
      <c r="B37" s="20" t="str">
        <f>VLOOKUP(A37,'Table S6A'!A:C,2,FALSE)</f>
        <v> Bacillota</v>
      </c>
      <c r="C37" s="20" t="str">
        <f>VLOOKUP('Table S6B'!A37,'Table S6A'!A:C,3,FALSE)</f>
        <v>Clostridiaceae</v>
      </c>
      <c r="D37" s="20" t="str">
        <f>VLOOKUP(A37,'Table S6A'!A:E,4,FALSE)</f>
        <v>the mud of olive mill wastewater evaporation pond</v>
      </c>
      <c r="E37" s="20" t="str">
        <f>VLOOKUP(A37,'Table S6A'!A:E,5,FALSE)</f>
        <v>Engineered</v>
      </c>
      <c r="F37" s="20">
        <v>457</v>
      </c>
      <c r="G37" s="21">
        <v>0.96</v>
      </c>
      <c r="H37" s="22">
        <v>1E-155</v>
      </c>
      <c r="I37" s="20">
        <v>53.88</v>
      </c>
      <c r="J37" s="20">
        <v>413</v>
      </c>
      <c r="K37" s="20" t="str">
        <f>HYPERLINK("https://www.ncbi.nlm.nih.gov/protein/WP_026895359.1?report=genbank&amp;log$=prottop&amp;blast_rank=348&amp;RID=AS43UG39016","WP_026895359.1")</f>
        <v>WP_026895359.1</v>
      </c>
      <c r="L37" s="20"/>
    </row>
    <row r="38" spans="1:12">
      <c r="A38" s="20" t="s">
        <v>476</v>
      </c>
      <c r="B38" s="20" t="str">
        <f>VLOOKUP(A38,'Table S6A'!A:C,2,FALSE)</f>
        <v> Bacillota</v>
      </c>
      <c r="C38" s="20" t="str">
        <f>VLOOKUP('Table S6B'!A38,'Table S6A'!A:C,3,FALSE)</f>
        <v>Clostridiaceae</v>
      </c>
      <c r="D38" s="20" t="str">
        <f>VLOOKUP(A38,'Table S6A'!A:E,4,FALSE)</f>
        <v>human feces</v>
      </c>
      <c r="E38" s="20" t="str">
        <f>VLOOKUP(A38,'Table S6A'!A:E,5,FALSE)</f>
        <v>Gastrointestinal tract</v>
      </c>
      <c r="F38" s="20">
        <v>431</v>
      </c>
      <c r="G38" s="21">
        <v>0.96</v>
      </c>
      <c r="H38" s="22">
        <v>9.9999999999999991E-146</v>
      </c>
      <c r="I38" s="20">
        <v>54.37</v>
      </c>
      <c r="J38" s="20">
        <v>411</v>
      </c>
      <c r="K38" s="20" t="str">
        <f>HYPERLINK("https://www.ncbi.nlm.nih.gov/protein/WP_032122148.1?report=genbank&amp;log$=prottop&amp;blast_rank=412&amp;RID=AS43UG39016","WP_032122148.1")</f>
        <v>WP_032122148.1</v>
      </c>
      <c r="L38" s="20"/>
    </row>
    <row r="39" spans="1:12">
      <c r="A39" s="20" t="s">
        <v>477</v>
      </c>
      <c r="B39" s="20" t="str">
        <f>VLOOKUP(A39,'Table S6A'!A:C,2,FALSE)</f>
        <v> Bacillota</v>
      </c>
      <c r="C39" s="20" t="str">
        <f>VLOOKUP('Table S6B'!A39,'Table S6A'!A:C,3,FALSE)</f>
        <v>Clostridiaceae</v>
      </c>
      <c r="D39" s="20" t="str">
        <f>VLOOKUP(A39,'Table S6A'!A:E,4,FALSE)</f>
        <v>the mud in a North Carolina swamp</v>
      </c>
      <c r="E39" s="20" t="str">
        <f>VLOOKUP(A39,'Table S6A'!A:E,5,FALSE)</f>
        <v>Environmental</v>
      </c>
      <c r="F39" s="20">
        <v>489</v>
      </c>
      <c r="G39" s="21">
        <v>0.96</v>
      </c>
      <c r="H39" s="22">
        <v>1E-168</v>
      </c>
      <c r="I39" s="20">
        <v>56.59</v>
      </c>
      <c r="J39" s="20">
        <v>417</v>
      </c>
      <c r="K39" s="20" t="str">
        <f>HYPERLINK("https://www.ncbi.nlm.nih.gov/protein/WP_206582835.1?report=genbank&amp;log$=prottop&amp;blast_rank=253&amp;RID=AS43UG39016","WP_206582835.1")</f>
        <v>WP_206582835.1</v>
      </c>
      <c r="L39" s="20"/>
    </row>
    <row r="40" spans="1:12">
      <c r="A40" s="20" t="s">
        <v>479</v>
      </c>
      <c r="B40" s="20" t="str">
        <f>VLOOKUP(A40,'Table S6A'!A:C,2,FALSE)</f>
        <v> Bacillota</v>
      </c>
      <c r="C40" s="20" t="str">
        <f>VLOOKUP('Table S6B'!A40,'Table S6A'!A:C,3,FALSE)</f>
        <v>Clostridiaceae</v>
      </c>
      <c r="D40" s="20" t="str">
        <f>VLOOKUP(A40,'Table S6A'!A:E,4,FALSE)</f>
        <v>the contaminated groundwater in the United States</v>
      </c>
      <c r="E40" s="20" t="str">
        <f>VLOOKUP(A40,'Table S6A'!A:E,5,FALSE)</f>
        <v>Engineered</v>
      </c>
      <c r="F40" s="20">
        <v>488</v>
      </c>
      <c r="G40" s="21">
        <v>0.96</v>
      </c>
      <c r="H40" s="22">
        <v>5.9999999999999998E-168</v>
      </c>
      <c r="I40" s="20">
        <v>57.04</v>
      </c>
      <c r="J40" s="20">
        <v>420</v>
      </c>
      <c r="K40" s="20" t="str">
        <f>HYPERLINK("https://www.ncbi.nlm.nih.gov/protein/WP_072985634.1?report=genbank&amp;log$=prottop&amp;blast_rank=260&amp;RID=AS43UG39016","WP_072985634.1")</f>
        <v>WP_072985634.1</v>
      </c>
      <c r="L40" s="20"/>
    </row>
    <row r="41" spans="1:12">
      <c r="A41" s="20" t="s">
        <v>481</v>
      </c>
      <c r="B41" s="20" t="str">
        <f>VLOOKUP(A41,'Table S6A'!A:C,2,FALSE)</f>
        <v> Bacillota</v>
      </c>
      <c r="C41" s="20" t="str">
        <f>VLOOKUP('Table S6B'!A41,'Table S6A'!A:C,3,FALSE)</f>
        <v>Clostridiaceae</v>
      </c>
      <c r="D41" s="20" t="str">
        <f>VLOOKUP(A41,'Table S6A'!A:E,4,FALSE)</f>
        <v>muscular tissue of animals</v>
      </c>
      <c r="E41" s="20" t="str">
        <f>VLOOKUP(A41,'Table S6A'!A:E,5,FALSE)</f>
        <v>muscle</v>
      </c>
      <c r="F41" s="20">
        <v>480</v>
      </c>
      <c r="G41" s="21">
        <v>0.96</v>
      </c>
      <c r="H41" s="22">
        <v>9.9999999999999996E-165</v>
      </c>
      <c r="I41" s="20">
        <v>54.61</v>
      </c>
      <c r="J41" s="20">
        <v>420</v>
      </c>
      <c r="K41" s="20" t="str">
        <f>HYPERLINK("https://www.ncbi.nlm.nih.gov/protein/WP_021876833.1?report=genbank&amp;log$=prottop&amp;blast_rank=285&amp;RID=AS43UG39016","WP_021876833.1")</f>
        <v>WP_021876833.1</v>
      </c>
      <c r="L41" s="20"/>
    </row>
    <row r="42" spans="1:12">
      <c r="A42" s="20" t="s">
        <v>484</v>
      </c>
      <c r="B42" s="20" t="str">
        <f>VLOOKUP(A42,'Table S6A'!A:C,2,FALSE)</f>
        <v> Bacillota</v>
      </c>
      <c r="C42" s="20" t="str">
        <f>VLOOKUP('Table S6B'!A42,'Table S6A'!A:C,3,FALSE)</f>
        <v>Clostridiaceae</v>
      </c>
      <c r="D42" s="20" t="str">
        <f>VLOOKUP(A42,'Table S6A'!A:E,4,FALSE)</f>
        <v>mouse feces</v>
      </c>
      <c r="E42" s="20" t="str">
        <f>VLOOKUP(A42,'Table S6A'!A:E,5,FALSE)</f>
        <v>Gastrointestinal tract</v>
      </c>
      <c r="F42" s="20">
        <v>469</v>
      </c>
      <c r="G42" s="21">
        <v>0.96</v>
      </c>
      <c r="H42" s="22">
        <v>2E-160</v>
      </c>
      <c r="I42" s="20">
        <v>56.17</v>
      </c>
      <c r="J42" s="20">
        <v>413</v>
      </c>
      <c r="K42" s="20" t="str">
        <f>HYPERLINK("https://www.ncbi.nlm.nih.gov/protein/WP_089863003.1?report=genbank&amp;log$=prottop&amp;blast_rank=307&amp;RID=AS43UG39016","WP_089863003.1")</f>
        <v>WP_089863003.1</v>
      </c>
      <c r="L42" s="20"/>
    </row>
    <row r="43" spans="1:12">
      <c r="A43" s="20" t="s">
        <v>485</v>
      </c>
      <c r="B43" s="20" t="str">
        <f>VLOOKUP(A43,'Table S6A'!A:C,2,FALSE)</f>
        <v> Bacillota</v>
      </c>
      <c r="C43" s="20" t="str">
        <f>VLOOKUP('Table S6B'!A43,'Table S6A'!A:C,3,FALSE)</f>
        <v>Clostridiaceae</v>
      </c>
      <c r="D43" s="20" t="str">
        <f>VLOOKUP(A43,'Table S6A'!A:E,4,FALSE)</f>
        <v>sewage sludge in the United States</v>
      </c>
      <c r="E43" s="20" t="str">
        <f>VLOOKUP(A43,'Table S6A'!A:E,5,FALSE)</f>
        <v>Environmental</v>
      </c>
      <c r="F43" s="20">
        <v>445</v>
      </c>
      <c r="G43" s="21">
        <v>0.96</v>
      </c>
      <c r="H43" s="22">
        <v>5E-151</v>
      </c>
      <c r="I43" s="20">
        <v>54.61</v>
      </c>
      <c r="J43" s="20">
        <v>413</v>
      </c>
      <c r="K43" s="20" t="str">
        <f>HYPERLINK("https://www.ncbi.nlm.nih.gov/protein/WP_072830729.1?report=genbank&amp;log$=prottop&amp;blast_rank=387&amp;RID=AS43UG39016","WP_072830729.1")</f>
        <v>WP_072830729.1</v>
      </c>
      <c r="L43" s="20"/>
    </row>
    <row r="44" spans="1:12">
      <c r="A44" s="20" t="s">
        <v>487</v>
      </c>
      <c r="B44" s="20" t="str">
        <f>VLOOKUP(A44,'Table S6A'!A:C,2,FALSE)</f>
        <v> Bacillota</v>
      </c>
      <c r="C44" s="20" t="str">
        <f>VLOOKUP('Table S6B'!A44,'Table S6A'!A:C,3,FALSE)</f>
        <v>Clostridiaceae</v>
      </c>
      <c r="D44" s="20" t="str">
        <f>VLOOKUP(A44,'Table S6A'!A:E,4,FALSE)</f>
        <v>the stool of an obese patient</v>
      </c>
      <c r="E44" s="20" t="str">
        <f>VLOOKUP(A44,'Table S6A'!A:E,5,FALSE)</f>
        <v>infection</v>
      </c>
      <c r="F44" s="20">
        <v>496</v>
      </c>
      <c r="G44" s="21">
        <v>0.96</v>
      </c>
      <c r="H44" s="22">
        <v>3E-171</v>
      </c>
      <c r="I44" s="20">
        <v>58.6</v>
      </c>
      <c r="J44" s="20">
        <v>415</v>
      </c>
      <c r="K44" s="20" t="str">
        <f>HYPERLINK("https://www.ncbi.nlm.nih.gov/protein/WP_040193483.1?report=genbank&amp;log$=prottop&amp;blast_rank=214&amp;RID=AS43UG39016","WP_040193483.1")</f>
        <v>WP_040193483.1</v>
      </c>
      <c r="L44" s="20"/>
    </row>
    <row r="45" spans="1:12">
      <c r="A45" s="20" t="s">
        <v>489</v>
      </c>
      <c r="B45" s="20" t="str">
        <f>VLOOKUP(A45,'Table S6A'!A:C,2,FALSE)</f>
        <v> Bacillota</v>
      </c>
      <c r="C45" s="20" t="str">
        <f>VLOOKUP('Table S6B'!A45,'Table S6A'!A:C,3,FALSE)</f>
        <v>Clostridiaceae</v>
      </c>
      <c r="D45" s="20" t="str">
        <f>VLOOKUP(A45,'Table S6A'!A:E,4,FALSE)</f>
        <v>the stool sample of a human with anorexia nervosa</v>
      </c>
      <c r="E45" s="20" t="str">
        <f>VLOOKUP(A45,'Table S6A'!A:E,5,FALSE)</f>
        <v>infection</v>
      </c>
      <c r="F45" s="20">
        <v>468</v>
      </c>
      <c r="G45" s="21">
        <v>0.96</v>
      </c>
      <c r="H45" s="22">
        <v>4.9999999999999999E-160</v>
      </c>
      <c r="I45" s="20">
        <v>54.96</v>
      </c>
      <c r="J45" s="20">
        <v>412</v>
      </c>
      <c r="K45" s="20" t="str">
        <f>HYPERLINK("https://www.ncbi.nlm.nih.gov/protein/WP_040329657.1?report=genbank&amp;log$=prottop&amp;blast_rank=312&amp;RID=AS43UG39016","WP_040329657.1")</f>
        <v>WP_040329657.1</v>
      </c>
      <c r="L45" s="20"/>
    </row>
    <row r="46" spans="1:12">
      <c r="A46" s="20" t="s">
        <v>491</v>
      </c>
      <c r="B46" s="20" t="str">
        <f>VLOOKUP(A46,'Table S6A'!A:C,2,FALSE)</f>
        <v> Bacillota</v>
      </c>
      <c r="C46" s="20" t="str">
        <f>VLOOKUP('Table S6B'!A46,'Table S6A'!A:C,3,FALSE)</f>
        <v>Clostridiaceae</v>
      </c>
      <c r="D46" s="20" t="str">
        <f>VLOOKUP(A46,'Table S6A'!A:E,4,FALSE)</f>
        <v>a cow rumen</v>
      </c>
      <c r="E46" s="20" t="str">
        <f>VLOOKUP(A46,'Table S6A'!A:E,5,FALSE)</f>
        <v>Gastrointestinal tract</v>
      </c>
      <c r="F46" s="20">
        <v>465</v>
      </c>
      <c r="G46" s="21">
        <v>0.96</v>
      </c>
      <c r="H46" s="22">
        <v>4E-159</v>
      </c>
      <c r="I46" s="20">
        <v>56.31</v>
      </c>
      <c r="J46" s="20">
        <v>412</v>
      </c>
      <c r="K46" s="20" t="str">
        <f>HYPERLINK("https://www.ncbi.nlm.nih.gov/protein/WP_027623392.1?report=genbank&amp;log$=prottop&amp;blast_rank=318&amp;RID=AS43UG39016","WP_027623392.1")</f>
        <v>WP_027623392.1</v>
      </c>
      <c r="L46" s="20"/>
    </row>
    <row r="47" spans="1:12">
      <c r="A47" s="20" t="s">
        <v>493</v>
      </c>
      <c r="B47" s="20" t="str">
        <f>VLOOKUP(A47,'Table S6A'!A:C,2,FALSE)</f>
        <v> Bacillota</v>
      </c>
      <c r="C47" s="20" t="str">
        <f>VLOOKUP('Table S6B'!A47,'Table S6A'!A:C,3,FALSE)</f>
        <v>Clostridiaceae</v>
      </c>
      <c r="D47" s="20" t="str">
        <f>VLOOKUP(A47,'Table S6A'!A:E,4,FALSE)</f>
        <v>human feces</v>
      </c>
      <c r="E47" s="20" t="str">
        <f>VLOOKUP(A47,'Table S6A'!A:E,5,FALSE)</f>
        <v>Gastrointestinal tract</v>
      </c>
      <c r="F47" s="20">
        <v>464</v>
      </c>
      <c r="G47" s="21">
        <v>0.96</v>
      </c>
      <c r="H47" s="22">
        <v>2.0000000000000001E-158</v>
      </c>
      <c r="I47" s="20">
        <v>55.93</v>
      </c>
      <c r="J47" s="20">
        <v>412</v>
      </c>
      <c r="K47" s="20" t="str">
        <f>HYPERLINK("https://www.ncbi.nlm.nih.gov/protein/WP_216438608.1?report=genbank&amp;log$=prottop&amp;blast_rank=331&amp;RID=AS43UG39016","WP_216438608.1")</f>
        <v>WP_216438608.1</v>
      </c>
      <c r="L47" s="20"/>
    </row>
    <row r="48" spans="1:12">
      <c r="A48" s="20" t="s">
        <v>494</v>
      </c>
      <c r="B48" s="20" t="str">
        <f>VLOOKUP(A48,'Table S6A'!A:C,2,FALSE)</f>
        <v> Bacillota</v>
      </c>
      <c r="C48" s="20" t="str">
        <f>VLOOKUP('Table S6B'!A48,'Table S6A'!A:C,3,FALSE)</f>
        <v>Clostridiaceae</v>
      </c>
      <c r="D48" s="20" t="str">
        <f>VLOOKUP(A48,'Table S6A'!A:E,4,FALSE)</f>
        <v>rectum</v>
      </c>
      <c r="E48" s="20" t="str">
        <f>VLOOKUP(A48,'Table S6A'!A:E,5,FALSE)</f>
        <v>Gastrointestinal tract</v>
      </c>
      <c r="F48" s="20">
        <v>437</v>
      </c>
      <c r="G48" s="21">
        <v>0.96</v>
      </c>
      <c r="H48" s="22">
        <v>3.9999999999999997E-148</v>
      </c>
      <c r="I48" s="20">
        <v>53.27</v>
      </c>
      <c r="J48" s="20">
        <v>412</v>
      </c>
      <c r="K48" s="20" t="str">
        <f>HYPERLINK("https://www.ncbi.nlm.nih.gov/protein/WP_125154262.1?report=genbank&amp;log$=prottop&amp;blast_rank=404&amp;RID=AS43UG39016","WP_125154262.1")</f>
        <v>WP_125154262.1</v>
      </c>
      <c r="L48" s="20"/>
    </row>
    <row r="49" spans="1:12">
      <c r="A49" s="20" t="s">
        <v>496</v>
      </c>
      <c r="B49" s="20" t="str">
        <f>VLOOKUP(A49,'Table S6A'!A:C,2,FALSE)</f>
        <v> Bacillota</v>
      </c>
      <c r="C49" s="20" t="str">
        <f>VLOOKUP('Table S6B'!A49,'Table S6A'!A:C,3,FALSE)</f>
        <v>Clostridiaceae</v>
      </c>
      <c r="D49" s="20" t="str">
        <f>VLOOKUP(A49,'Table S6A'!A:E,4,FALSE)</f>
        <v>human feces</v>
      </c>
      <c r="E49" s="20" t="str">
        <f>VLOOKUP(A49,'Table S6A'!A:E,5,FALSE)</f>
        <v>Gastrointestinal tract</v>
      </c>
      <c r="F49" s="20">
        <v>465</v>
      </c>
      <c r="G49" s="21">
        <v>0.96</v>
      </c>
      <c r="H49" s="22">
        <v>6.0000000000000002E-159</v>
      </c>
      <c r="I49" s="20">
        <v>54.96</v>
      </c>
      <c r="J49" s="20">
        <v>412</v>
      </c>
      <c r="K49" s="20" t="str">
        <f>HYPERLINK("https://www.ncbi.nlm.nih.gov/protein/WP_216450320.1?report=genbank&amp;log$=prottop&amp;blast_rank=323&amp;RID=AS43UG39016","WP_216450320.1")</f>
        <v>WP_216450320.1</v>
      </c>
      <c r="L49" s="20"/>
    </row>
    <row r="50" spans="1:12">
      <c r="A50" s="20" t="s">
        <v>497</v>
      </c>
      <c r="B50" s="20" t="str">
        <f>VLOOKUP(A50,'Table S6A'!A:C,2,FALSE)</f>
        <v> Bacillota</v>
      </c>
      <c r="C50" s="20" t="str">
        <f>VLOOKUP('Table S6B'!A50,'Table S6A'!A:C,3,FALSE)</f>
        <v>Clostridiaceae</v>
      </c>
      <c r="D50" s="20" t="str">
        <f>VLOOKUP(A50,'Table S6A'!A:E,4,FALSE)</f>
        <v>monkey feces</v>
      </c>
      <c r="E50" s="20" t="str">
        <f>VLOOKUP(A50,'Table S6A'!A:E,5,FALSE)</f>
        <v>Gastrointestinal tract</v>
      </c>
      <c r="F50" s="20">
        <v>424</v>
      </c>
      <c r="G50" s="21">
        <v>0.96</v>
      </c>
      <c r="H50" s="22">
        <v>7.9999999999999996E-143</v>
      </c>
      <c r="I50" s="20">
        <v>53.64</v>
      </c>
      <c r="J50" s="20">
        <v>411</v>
      </c>
      <c r="K50" s="20" t="str">
        <f>HYPERLINK("https://www.ncbi.nlm.nih.gov/protein/WP_216456263.1?report=genbank&amp;log$=prottop&amp;blast_rank=418&amp;RID=AS43UG39016","WP_216456263.1")</f>
        <v>WP_216456263.1</v>
      </c>
      <c r="L50" s="20"/>
    </row>
    <row r="51" spans="1:12">
      <c r="A51" s="20" t="s">
        <v>499</v>
      </c>
      <c r="B51" s="20" t="str">
        <f>VLOOKUP(A51,'Table S6A'!A:C,2,FALSE)</f>
        <v> Bacillota</v>
      </c>
      <c r="C51" s="20" t="str">
        <f>VLOOKUP('Table S6B'!A51,'Table S6A'!A:C,3,FALSE)</f>
        <v>Clostridiaceae</v>
      </c>
      <c r="D51" s="20" t="str">
        <f>VLOOKUP(A51,'Table S6A'!A:E,4,FALSE)</f>
        <v>human feces</v>
      </c>
      <c r="E51" s="20" t="str">
        <f>VLOOKUP(A51,'Table S6A'!A:E,5,FALSE)</f>
        <v>Gastrointestinal tract</v>
      </c>
      <c r="F51" s="20">
        <v>872</v>
      </c>
      <c r="G51" s="21">
        <v>1</v>
      </c>
      <c r="H51" s="20">
        <v>0</v>
      </c>
      <c r="I51" s="20">
        <v>98.35</v>
      </c>
      <c r="J51" s="20">
        <v>425</v>
      </c>
      <c r="K51" s="20" t="str">
        <f>HYPERLINK("https://www.ncbi.nlm.nih.gov/protein/MBS1326235.1?report=genbank&amp;log$=prottop&amp;blast_rank=69&amp;RID=AS43UG39016","MBS1326235.1")</f>
        <v>MBS1326235.1</v>
      </c>
      <c r="L51" s="20"/>
    </row>
    <row r="52" spans="1:12">
      <c r="A52" s="20" t="s">
        <v>500</v>
      </c>
      <c r="B52" s="20" t="str">
        <f>VLOOKUP(A52,'Table S6A'!A:C,2,FALSE)</f>
        <v> Bacillota</v>
      </c>
      <c r="C52" s="20" t="str">
        <f>VLOOKUP('Table S6B'!A52,'Table S6A'!A:C,3,FALSE)</f>
        <v>Clostridiaceae</v>
      </c>
      <c r="D52" s="20" t="str">
        <f>VLOOKUP(A52,'Table S6A'!A:E,4,FALSE)</f>
        <v>industrial product</v>
      </c>
      <c r="E52" s="20" t="str">
        <f>VLOOKUP(A52,'Table S6A'!A:E,5,FALSE)</f>
        <v>Engineered</v>
      </c>
      <c r="F52" s="20">
        <v>459</v>
      </c>
      <c r="G52" s="21">
        <v>0.96</v>
      </c>
      <c r="H52" s="22">
        <v>2.0000000000000001E-156</v>
      </c>
      <c r="I52" s="20">
        <v>54.96</v>
      </c>
      <c r="J52" s="20">
        <v>420</v>
      </c>
      <c r="K52" s="20" t="str">
        <f>HYPERLINK("https://www.ncbi.nlm.nih.gov/protein/WP_208333477.1?report=genbank&amp;log$=prottop&amp;blast_rank=341&amp;RID=AS43UG39016","WP_208333477.1")</f>
        <v>WP_208333477.1</v>
      </c>
      <c r="L52" s="20"/>
    </row>
    <row r="53" spans="1:12">
      <c r="A53" s="20" t="s">
        <v>502</v>
      </c>
      <c r="B53" s="20" t="str">
        <f>VLOOKUP(A53,'Table S6A'!A:C,2,FALSE)</f>
        <v> Bacillota</v>
      </c>
      <c r="C53" s="20" t="str">
        <f>VLOOKUP('Table S6B'!A53,'Table S6A'!A:C,3,FALSE)</f>
        <v>Clostridiaceae</v>
      </c>
      <c r="D53" s="20" t="str">
        <f>VLOOKUP(A53,'Table S6A'!A:E,4,FALSE)</f>
        <v>unknown</v>
      </c>
      <c r="E53" s="20"/>
      <c r="F53" s="20">
        <v>445</v>
      </c>
      <c r="G53" s="21">
        <v>0.96</v>
      </c>
      <c r="H53" s="22">
        <v>3.9999999999999998E-151</v>
      </c>
      <c r="I53" s="20">
        <v>54.37</v>
      </c>
      <c r="J53" s="20">
        <v>412</v>
      </c>
      <c r="K53" s="20" t="str">
        <f>HYPERLINK("https://www.ncbi.nlm.nih.gov/protein/MCF6465348.1?report=genbank&amp;log$=prottop&amp;blast_rank=384&amp;RID=AS43UG39016","MCF6465348.1")</f>
        <v>MCF6465348.1</v>
      </c>
      <c r="L53" s="20"/>
    </row>
    <row r="54" spans="1:12">
      <c r="A54" s="20" t="s">
        <v>504</v>
      </c>
      <c r="B54" s="20" t="str">
        <f>VLOOKUP(A54,'Table S6A'!A:C,2,FALSE)</f>
        <v> Bacillota</v>
      </c>
      <c r="C54" s="20" t="str">
        <f>VLOOKUP('Table S6B'!A54,'Table S6A'!A:C,3,FALSE)</f>
        <v>Clostridiaceae</v>
      </c>
      <c r="D54" s="20" t="str">
        <f>VLOOKUP(A54,'Table S6A'!A:E,4,FALSE)</f>
        <v>unknown</v>
      </c>
      <c r="E54" s="20"/>
      <c r="F54" s="20">
        <v>455</v>
      </c>
      <c r="G54" s="21">
        <v>0.96</v>
      </c>
      <c r="H54" s="22">
        <v>5.9999999999999997E-155</v>
      </c>
      <c r="I54" s="20">
        <v>55.21</v>
      </c>
      <c r="J54" s="20">
        <v>412</v>
      </c>
      <c r="K54" s="20" t="str">
        <f>HYPERLINK("https://www.ncbi.nlm.nih.gov/protein/WP_236909014.1?report=genbank&amp;log$=prottop&amp;blast_rank=356&amp;RID=AS43UG39016","WP_236909014.1")</f>
        <v>WP_236909014.1</v>
      </c>
      <c r="L54" s="20"/>
    </row>
    <row r="55" spans="1:12">
      <c r="A55" s="20" t="s">
        <v>505</v>
      </c>
      <c r="B55" s="20" t="str">
        <f>VLOOKUP(A55,'Table S6A'!A:C,2,FALSE)</f>
        <v> Bacillota</v>
      </c>
      <c r="C55" s="20" t="str">
        <f>VLOOKUP('Table S6B'!A55,'Table S6A'!A:C,3,FALSE)</f>
        <v>Clostridiaceae</v>
      </c>
      <c r="D55" s="20" t="str">
        <f>VLOOKUP(A55,'Table S6A'!A:E,4,FALSE)</f>
        <v>soil</v>
      </c>
      <c r="E55" s="20" t="str">
        <f>VLOOKUP(A55,'Table S6A'!A:E,5,FALSE)</f>
        <v>Environmental</v>
      </c>
      <c r="F55" s="20">
        <v>471</v>
      </c>
      <c r="G55" s="21">
        <v>0.96</v>
      </c>
      <c r="H55" s="22">
        <v>2.0000000000000001E-161</v>
      </c>
      <c r="I55" s="20">
        <v>55.93</v>
      </c>
      <c r="J55" s="20">
        <v>413</v>
      </c>
      <c r="K55" s="20" t="str">
        <f>HYPERLINK("https://www.ncbi.nlm.nih.gov/protein/WP_035293394.1?report=genbank&amp;log$=prottop&amp;blast_rank=304&amp;RID=AS43UG39016","WP_035293394.1")</f>
        <v>WP_035293394.1</v>
      </c>
      <c r="L55" s="20"/>
    </row>
    <row r="56" spans="1:12">
      <c r="A56" s="20" t="s">
        <v>506</v>
      </c>
      <c r="B56" s="20" t="str">
        <f>VLOOKUP(A56,'Table S6A'!A:C,2,FALSE)</f>
        <v> Bacillota</v>
      </c>
      <c r="C56" s="20" t="str">
        <f>VLOOKUP('Table S6B'!A56,'Table S6A'!A:C,3,FALSE)</f>
        <v>Clostridiaceae</v>
      </c>
      <c r="D56" s="20" t="str">
        <f>VLOOKUP(A56,'Table S6A'!A:E,4,FALSE)</f>
        <v>pond sediment</v>
      </c>
      <c r="E56" s="20" t="str">
        <f>VLOOKUP(A56,'Table S6A'!A:E,5,FALSE)</f>
        <v>Environmental</v>
      </c>
      <c r="F56" s="20">
        <v>456</v>
      </c>
      <c r="G56" s="21">
        <v>0.96</v>
      </c>
      <c r="H56" s="22">
        <v>2E-155</v>
      </c>
      <c r="I56" s="20">
        <v>53.66</v>
      </c>
      <c r="J56" s="20">
        <v>414</v>
      </c>
      <c r="K56" s="20" t="str">
        <f>HYPERLINK("https://www.ncbi.nlm.nih.gov/protein/WP_035132890.1?report=genbank&amp;log$=prottop&amp;blast_rank=352&amp;RID=AS43UG39016","WP_035132890.1")</f>
        <v>WP_035132890.1</v>
      </c>
      <c r="L56" s="20"/>
    </row>
    <row r="57" spans="1:12">
      <c r="A57" s="20" t="s">
        <v>508</v>
      </c>
      <c r="B57" s="20" t="str">
        <f>VLOOKUP(A57,'Table S6A'!A:C,2,FALSE)</f>
        <v> Bacillota</v>
      </c>
      <c r="C57" s="20" t="str">
        <f>VLOOKUP('Table S6B'!A57,'Table S6A'!A:C,3,FALSE)</f>
        <v>Clostridiaceae</v>
      </c>
      <c r="D57" s="20" t="str">
        <f>VLOOKUP(A57,'Table S6A'!A:E,4,FALSE)</f>
        <v>soil and animal feces</v>
      </c>
      <c r="E57" s="20" t="str">
        <f>VLOOKUP(A57,'Table S6A'!A:E,5,FALSE)</f>
        <v>Environmental/Gastrointestinal tract</v>
      </c>
      <c r="F57" s="20">
        <v>466</v>
      </c>
      <c r="G57" s="21">
        <v>0.96</v>
      </c>
      <c r="H57" s="22">
        <v>3.0000000000000001E-159</v>
      </c>
      <c r="I57" s="20">
        <v>55.45</v>
      </c>
      <c r="J57" s="20">
        <v>415</v>
      </c>
      <c r="K57" s="20" t="str">
        <f>HYPERLINK("https://www.ncbi.nlm.nih.gov/protein/WP_011099187.1?report=genbank&amp;log$=prottop&amp;blast_rank=315&amp;RID=AS43UG39016","WP_011099187.1")</f>
        <v>WP_011099187.1</v>
      </c>
      <c r="L57" s="20"/>
    </row>
    <row r="58" spans="1:12">
      <c r="A58" s="20" t="s">
        <v>511</v>
      </c>
      <c r="B58" s="20" t="str">
        <f>VLOOKUP(A58,'Table S6A'!A:C,2,FALSE)</f>
        <v> Bacillota</v>
      </c>
      <c r="C58" s="20" t="str">
        <f>VLOOKUP('Table S6B'!A58,'Table S6A'!A:C,3,FALSE)</f>
        <v>Clostridiaceae</v>
      </c>
      <c r="D58" s="20" t="str">
        <f>VLOOKUP(A58,'Table S6A'!A:E,4,FALSE)</f>
        <v>soil</v>
      </c>
      <c r="E58" s="20" t="str">
        <f>VLOOKUP(A58,'Table S6A'!A:E,5,FALSE)</f>
        <v>Environmental</v>
      </c>
      <c r="F58" s="20">
        <v>457</v>
      </c>
      <c r="G58" s="21">
        <v>0.96</v>
      </c>
      <c r="H58" s="22">
        <v>6.9999999999999999E-156</v>
      </c>
      <c r="I58" s="20">
        <v>54.24</v>
      </c>
      <c r="J58" s="20">
        <v>412</v>
      </c>
      <c r="K58" s="20" t="str">
        <f>HYPERLINK("https://www.ncbi.nlm.nih.gov/protein/WP_035148934.1?report=genbank&amp;log$=prottop&amp;blast_rank=346&amp;RID=AS43UG39016","WP_035148934.1")</f>
        <v>WP_035148934.1</v>
      </c>
      <c r="L58" s="20"/>
    </row>
    <row r="59" spans="1:12">
      <c r="A59" s="20" t="s">
        <v>512</v>
      </c>
      <c r="B59" s="20" t="str">
        <f>VLOOKUP(A59,'Table S6A'!A:C,2,FALSE)</f>
        <v> Bacillota</v>
      </c>
      <c r="C59" s="20" t="str">
        <f>VLOOKUP('Table S6B'!A59,'Table S6A'!A:C,3,FALSE)</f>
        <v>Clostridiaceae</v>
      </c>
      <c r="D59" s="20" t="str">
        <f>VLOOKUP(A59,'Table S6A'!A:E,4,FALSE)</f>
        <v>acidic peat bog</v>
      </c>
      <c r="E59" s="20" t="str">
        <f>VLOOKUP(A59,'Table S6A'!A:E,5,FALSE)</f>
        <v>Environmental</v>
      </c>
      <c r="F59" s="20">
        <v>490</v>
      </c>
      <c r="G59" s="21">
        <v>0.96</v>
      </c>
      <c r="H59" s="22">
        <v>1E-168</v>
      </c>
      <c r="I59" s="20">
        <v>56.66</v>
      </c>
      <c r="J59" s="20">
        <v>420</v>
      </c>
      <c r="K59" s="20" t="str">
        <f>HYPERLINK("https://www.ncbi.nlm.nih.gov/protein/WP_090094208.1?report=genbank&amp;log$=prottop&amp;blast_rank=252&amp;RID=AS43UG39016","WP_090094208.1")</f>
        <v>WP_090094208.1</v>
      </c>
      <c r="L59" s="20"/>
    </row>
    <row r="60" spans="1:12">
      <c r="A60" s="20" t="s">
        <v>514</v>
      </c>
      <c r="B60" s="20" t="str">
        <f>VLOOKUP(A60,'Table S6A'!A:C,2,FALSE)</f>
        <v> Bacillota</v>
      </c>
      <c r="C60" s="20" t="str">
        <f>VLOOKUP('Table S6B'!A60,'Table S6A'!A:C,3,FALSE)</f>
        <v>Clostridiaceae</v>
      </c>
      <c r="D60" s="20" t="str">
        <f>VLOOKUP(A60,'Table S6A'!A:E,4,FALSE)</f>
        <v>activated sludge of petroleum wastewater</v>
      </c>
      <c r="E60" s="20" t="str">
        <f>VLOOKUP(A60,'Table S6A'!A:E,5,FALSE)</f>
        <v>Environmental</v>
      </c>
      <c r="F60" s="20">
        <v>489</v>
      </c>
      <c r="G60" s="21">
        <v>0.96</v>
      </c>
      <c r="H60" s="22">
        <v>2.0000000000000001E-168</v>
      </c>
      <c r="I60" s="20">
        <v>56.55</v>
      </c>
      <c r="J60" s="20">
        <v>415</v>
      </c>
      <c r="K60" s="20" t="str">
        <f>HYPERLINK("https://www.ncbi.nlm.nih.gov/protein/WP_219779195.1?report=genbank&amp;log$=prottop&amp;blast_rank=255&amp;RID=AS43UG39016","WP_219779195.1")</f>
        <v>WP_219779195.1</v>
      </c>
      <c r="L60" s="20"/>
    </row>
    <row r="61" spans="1:12">
      <c r="A61" s="20" t="s">
        <v>516</v>
      </c>
      <c r="B61" s="20" t="str">
        <f>VLOOKUP(A61,'Table S6A'!A:C,2,FALSE)</f>
        <v>Actinomycetota</v>
      </c>
      <c r="C61" s="20" t="str">
        <f>VLOOKUP('Table S6B'!A61,'Table S6A'!A:C,3,FALSE)</f>
        <v>Coriobacteriaceae</v>
      </c>
      <c r="D61" s="20" t="str">
        <f>VLOOKUP(A61,'Table S6A'!A:E,4,FALSE)</f>
        <v>human feces</v>
      </c>
      <c r="E61" s="20" t="str">
        <f>VLOOKUP(A61,'Table S6A'!A:E,5,FALSE)</f>
        <v>Gastrointestinal tract</v>
      </c>
      <c r="F61" s="20">
        <v>736</v>
      </c>
      <c r="G61" s="21">
        <v>1</v>
      </c>
      <c r="H61" s="20">
        <v>0</v>
      </c>
      <c r="I61" s="20">
        <v>81.069999999999993</v>
      </c>
      <c r="J61" s="20">
        <v>428</v>
      </c>
      <c r="K61" s="20" t="str">
        <f>HYPERLINK("https://www.ncbi.nlm.nih.gov/protein/NMF56329.1?report=genbank&amp;log$=prottop&amp;blast_rank=104&amp;RID=AS43UG39016","NMF56329.1")</f>
        <v>NMF56329.1</v>
      </c>
      <c r="L61" s="20"/>
    </row>
    <row r="62" spans="1:12">
      <c r="A62" s="20" t="s">
        <v>200</v>
      </c>
      <c r="B62" s="20" t="s">
        <v>420</v>
      </c>
      <c r="C62" s="20" t="s">
        <v>463</v>
      </c>
      <c r="D62" s="20" t="s">
        <v>398</v>
      </c>
      <c r="E62" s="20" t="s">
        <v>399</v>
      </c>
      <c r="F62" s="20">
        <v>884</v>
      </c>
      <c r="G62" s="21">
        <v>1</v>
      </c>
      <c r="H62" s="20">
        <v>0</v>
      </c>
      <c r="I62" s="20">
        <v>100</v>
      </c>
      <c r="J62" s="20">
        <v>425</v>
      </c>
      <c r="K62" s="20" t="str">
        <f>HYPERLINK("https://www.ncbi.nlm.nih.gov/protein/WP_152074140.1?report=genbank&amp;log$=prottop&amp;blast_rank=2&amp;RID=AS43UG39016","WP_152074140.1")</f>
        <v>WP_152074140.1</v>
      </c>
      <c r="L62" s="20"/>
    </row>
    <row r="63" spans="1:12">
      <c r="A63" s="20" t="s">
        <v>517</v>
      </c>
      <c r="B63" s="20" t="str">
        <f>VLOOKUP(A63,'Table S6A'!A:C,2,FALSE)</f>
        <v>Actinomycetota</v>
      </c>
      <c r="C63" s="20" t="str">
        <f>VLOOKUP('Table S6B'!A63,'Table S6A'!A:C,3,FALSE)</f>
        <v>Coriobacteriaceae</v>
      </c>
      <c r="D63" s="20" t="str">
        <f>VLOOKUP(A63,'Table S6A'!A:E,4,FALSE)</f>
        <v>human feces</v>
      </c>
      <c r="E63" s="20" t="str">
        <f>VLOOKUP(A63,'Table S6A'!A:E,5,FALSE)</f>
        <v>Gastrointestinal tract</v>
      </c>
      <c r="F63" s="20">
        <v>736</v>
      </c>
      <c r="G63" s="21">
        <v>1</v>
      </c>
      <c r="H63" s="20">
        <v>0</v>
      </c>
      <c r="I63" s="20">
        <v>80.61</v>
      </c>
      <c r="J63" s="20">
        <v>428</v>
      </c>
      <c r="K63" s="20" t="str">
        <f>HYPERLINK("https://www.ncbi.nlm.nih.gov/protein/WP_040220141.1?report=genbank&amp;log$=prottop&amp;blast_rank=103&amp;RID=AS43UG39016","WP_040220141.1")</f>
        <v>WP_040220141.1</v>
      </c>
      <c r="L63" s="20"/>
    </row>
    <row r="64" spans="1:12">
      <c r="A64" s="20" t="s">
        <v>518</v>
      </c>
      <c r="B64" s="20" t="str">
        <f>VLOOKUP(A64,'Table S6A'!A:C,2,FALSE)</f>
        <v>Actinomycetota</v>
      </c>
      <c r="C64" s="20" t="str">
        <f>VLOOKUP('Table S6B'!A64,'Table S6A'!A:C,3,FALSE)</f>
        <v>Coriobacteriaceae</v>
      </c>
      <c r="D64" s="20" t="str">
        <f>VLOOKUP(A64,'Table S6A'!A:E,4,FALSE)</f>
        <v>human feces</v>
      </c>
      <c r="E64" s="20" t="str">
        <f>VLOOKUP(A64,'Table S6A'!A:E,5,FALSE)</f>
        <v>Gastrointestinal tract</v>
      </c>
      <c r="F64" s="20">
        <v>774</v>
      </c>
      <c r="G64" s="21">
        <v>1</v>
      </c>
      <c r="H64" s="20">
        <v>0</v>
      </c>
      <c r="I64" s="20">
        <v>85.88</v>
      </c>
      <c r="J64" s="20">
        <v>424</v>
      </c>
      <c r="K64" s="20" t="str">
        <f>HYPERLINK("https://www.ncbi.nlm.nih.gov/protein/HJG30622.1?report=genbank&amp;log$=prottop&amp;blast_rank=94&amp;RID=AS43UG39016","HJG30622.1")</f>
        <v>HJG30622.1</v>
      </c>
      <c r="L64" s="20"/>
    </row>
    <row r="65" spans="1:12">
      <c r="A65" s="20" t="s">
        <v>163</v>
      </c>
      <c r="B65" s="20" t="str">
        <f>VLOOKUP(A65,'Table S6A'!A:C,2,FALSE)</f>
        <v>Actinomycetota</v>
      </c>
      <c r="C65" s="20" t="str">
        <f>VLOOKUP('Table S6B'!A65,'Table S6A'!A:C,3,FALSE)</f>
        <v>Coriobacteriaceae</v>
      </c>
      <c r="D65" s="20" t="str">
        <f>VLOOKUP(A65,'Table S6A'!A:E,4,FALSE)</f>
        <v>human feces</v>
      </c>
      <c r="E65" s="20" t="str">
        <f>VLOOKUP(A65,'Table S6A'!A:E,5,FALSE)</f>
        <v>Gastrointestinal tract</v>
      </c>
      <c r="F65" s="20">
        <v>844</v>
      </c>
      <c r="G65" s="21">
        <v>0.99</v>
      </c>
      <c r="H65" s="20">
        <v>0</v>
      </c>
      <c r="I65" s="20">
        <v>94.58</v>
      </c>
      <c r="J65" s="20">
        <v>425</v>
      </c>
      <c r="K65" s="20" t="str">
        <f>HYPERLINK("https://www.ncbi.nlm.nih.gov/protein/WP_118102402.1?report=genbank&amp;log$=prottop&amp;blast_rank=77&amp;RID=AS43UG39016","WP_118102402.1")</f>
        <v>WP_118102402.1</v>
      </c>
      <c r="L65" s="20"/>
    </row>
    <row r="66" spans="1:12">
      <c r="A66" s="20" t="s">
        <v>519</v>
      </c>
      <c r="B66" s="20" t="str">
        <f>VLOOKUP(A66,'Table S6A'!A:C,2,FALSE)</f>
        <v>Actinomycetota</v>
      </c>
      <c r="C66" s="20" t="str">
        <f>VLOOKUP('Table S6B'!A66,'Table S6A'!A:C,3,FALSE)</f>
        <v>Coriobacteriaceae</v>
      </c>
      <c r="D66" s="20" t="str">
        <f>VLOOKUP(A66,'Table S6A'!A:E,4,FALSE)</f>
        <v>human feces</v>
      </c>
      <c r="E66" s="20" t="str">
        <f>VLOOKUP(A66,'Table S6A'!A:E,5,FALSE)</f>
        <v>Gastrointestinal tract</v>
      </c>
      <c r="F66" s="20">
        <v>796</v>
      </c>
      <c r="G66" s="21">
        <v>1</v>
      </c>
      <c r="H66" s="20">
        <v>0</v>
      </c>
      <c r="I66" s="20">
        <v>90.35</v>
      </c>
      <c r="J66" s="20">
        <v>425</v>
      </c>
      <c r="K66" s="20" t="str">
        <f>HYPERLINK("https://www.ncbi.nlm.nih.gov/protein/WP_072415032.1?report=genbank&amp;log$=prottop&amp;blast_rank=90&amp;RID=AS43UG39016","WP_072415032.1")</f>
        <v>WP_072415032.1</v>
      </c>
      <c r="L66" s="20"/>
    </row>
    <row r="67" spans="1:12">
      <c r="A67" s="20" t="s">
        <v>520</v>
      </c>
      <c r="B67" s="20" t="str">
        <f>VLOOKUP(A67,'Table S6A'!A:C,2,FALSE)</f>
        <v>Actinomycetota</v>
      </c>
      <c r="C67" s="20" t="str">
        <f>VLOOKUP('Table S6B'!A67,'Table S6A'!A:C,3,FALSE)</f>
        <v>Coriobacteriaceae</v>
      </c>
      <c r="D67" s="20" t="str">
        <f>VLOOKUP(A67,'Table S6A'!A:E,4,FALSE)</f>
        <v>human feces</v>
      </c>
      <c r="E67" s="20" t="str">
        <f>VLOOKUP(A67,'Table S6A'!A:E,5,FALSE)</f>
        <v>Gastrointestinal tract</v>
      </c>
      <c r="F67" s="20">
        <v>835</v>
      </c>
      <c r="G67" s="21">
        <v>0.99</v>
      </c>
      <c r="H67" s="20">
        <v>0</v>
      </c>
      <c r="I67" s="20">
        <v>93.4</v>
      </c>
      <c r="J67" s="20">
        <v>425</v>
      </c>
      <c r="K67" s="20" t="str">
        <f>HYPERLINK("https://www.ncbi.nlm.nih.gov/protein/WP_102338201.1?report=genbank&amp;log$=prottop&amp;blast_rank=87&amp;RID=AS43UG39016","WP_102338201.1")</f>
        <v>WP_102338201.1</v>
      </c>
      <c r="L67" s="20"/>
    </row>
    <row r="68" spans="1:12">
      <c r="A68" s="20" t="s">
        <v>521</v>
      </c>
      <c r="B68" s="20" t="str">
        <f>VLOOKUP(A68,'Table S6A'!A:C,2,FALSE)</f>
        <v>Actinomycetota</v>
      </c>
      <c r="C68" s="20" t="str">
        <f>VLOOKUP('Table S6B'!A68,'Table S6A'!A:C,3,FALSE)</f>
        <v>Coriobacteriaceae</v>
      </c>
      <c r="D68" s="20" t="str">
        <f>VLOOKUP(A68,'Table S6A'!A:E,4,FALSE)</f>
        <v>human feces</v>
      </c>
      <c r="E68" s="20" t="str">
        <f>VLOOKUP(A68,'Table S6A'!A:E,5,FALSE)</f>
        <v>Gastrointestinal tract</v>
      </c>
      <c r="F68" s="20">
        <v>879</v>
      </c>
      <c r="G68" s="21">
        <v>1</v>
      </c>
      <c r="H68" s="20">
        <v>0</v>
      </c>
      <c r="I68" s="20">
        <v>99.06</v>
      </c>
      <c r="J68" s="20">
        <v>425</v>
      </c>
      <c r="K68" s="20" t="str">
        <f>HYPERLINK("https://www.ncbi.nlm.nih.gov/protein/HCG61003.1?report=genbank&amp;log$=prottop&amp;blast_rank=21&amp;RID=AS43UG39016","HCG61003.1")</f>
        <v>HCG61003.1</v>
      </c>
      <c r="L68" s="20"/>
    </row>
    <row r="69" spans="1:12">
      <c r="A69" s="20" t="s">
        <v>522</v>
      </c>
      <c r="B69" s="20" t="str">
        <f>VLOOKUP(A69,'Table S6A'!A:C,2,FALSE)</f>
        <v>Actinomycetota</v>
      </c>
      <c r="C69" s="20" t="str">
        <f>VLOOKUP('Table S6B'!A69,'Table S6A'!A:C,3,FALSE)</f>
        <v>Coriobacteriaceae</v>
      </c>
      <c r="D69" s="20" t="str">
        <f>VLOOKUP(A69,'Table S6A'!A:E,4,FALSE)</f>
        <v>Industry</v>
      </c>
      <c r="E69" s="20" t="str">
        <f>VLOOKUP(A69,'Table S6A'!A:E,5,FALSE)</f>
        <v>Engineered</v>
      </c>
      <c r="F69" s="20">
        <v>875</v>
      </c>
      <c r="G69" s="21">
        <v>1</v>
      </c>
      <c r="H69" s="20">
        <v>0</v>
      </c>
      <c r="I69" s="20">
        <v>98.59</v>
      </c>
      <c r="J69" s="20">
        <v>425</v>
      </c>
      <c r="K69" s="20" t="str">
        <f>HYPERLINK("https://www.ncbi.nlm.nih.gov/protein/WP_035136749.1?report=genbank&amp;log$=prottop&amp;blast_rank=62&amp;RID=AS43UG39016","WP_035136749.1")</f>
        <v>WP_035136749.1</v>
      </c>
      <c r="L69" s="20"/>
    </row>
    <row r="70" spans="1:12">
      <c r="A70" s="20" t="s">
        <v>524</v>
      </c>
      <c r="B70" s="20" t="str">
        <f>VLOOKUP(A70,'Table S6A'!A:C,2,FALSE)</f>
        <v>Actinomycetota</v>
      </c>
      <c r="C70" s="20" t="str">
        <f>VLOOKUP('Table S6B'!A70,'Table S6A'!A:C,3,FALSE)</f>
        <v>Coriobacteriaceae</v>
      </c>
      <c r="D70" s="20" t="str">
        <f>VLOOKUP(A70,'Table S6A'!A:E,4,FALSE)</f>
        <v>human feces</v>
      </c>
      <c r="E70" s="20" t="str">
        <f>VLOOKUP(A70,'Table S6A'!A:E,5,FALSE)</f>
        <v>Gastrointestinal tract</v>
      </c>
      <c r="F70" s="20">
        <v>880</v>
      </c>
      <c r="G70" s="21">
        <v>1</v>
      </c>
      <c r="H70" s="20">
        <v>0</v>
      </c>
      <c r="I70" s="20">
        <v>99.06</v>
      </c>
      <c r="J70" s="20">
        <v>425</v>
      </c>
      <c r="K70" s="20" t="str">
        <f>HYPERLINK("https://www.ncbi.nlm.nih.gov/protein/WP_118256856.1?report=genbank&amp;log$=prottop&amp;blast_rank=8&amp;RID=AS43UG39016","WP_118256856.1")</f>
        <v>WP_118256856.1</v>
      </c>
      <c r="L70" s="20"/>
    </row>
    <row r="71" spans="1:12">
      <c r="A71" s="20" t="s">
        <v>525</v>
      </c>
      <c r="B71" s="20" t="str">
        <f>VLOOKUP(A71,'Table S6A'!A:C,2,FALSE)</f>
        <v>Actinomycetota</v>
      </c>
      <c r="C71" s="20" t="str">
        <f>VLOOKUP('Table S6B'!A71,'Table S6A'!A:C,3,FALSE)</f>
        <v>Coriobacteriaceae</v>
      </c>
      <c r="D71" s="20" t="str">
        <f>VLOOKUP(A71,'Table S6A'!A:E,4,FALSE)</f>
        <v>human feces</v>
      </c>
      <c r="E71" s="20" t="str">
        <f>VLOOKUP(A71,'Table S6A'!A:E,5,FALSE)</f>
        <v>Gastrointestinal tract</v>
      </c>
      <c r="F71" s="20">
        <v>842</v>
      </c>
      <c r="G71" s="21">
        <v>0.99</v>
      </c>
      <c r="H71" s="20">
        <v>0</v>
      </c>
      <c r="I71" s="20">
        <v>94.34</v>
      </c>
      <c r="J71" s="20">
        <v>425</v>
      </c>
      <c r="K71" s="20" t="str">
        <f>HYPERLINK("https://www.ncbi.nlm.nih.gov/protein/WP_118652856.1?report=genbank&amp;log$=prottop&amp;blast_rank=82&amp;RID=AS43UG39016","WP_118652856.1")</f>
        <v>WP_118652856.1</v>
      </c>
      <c r="L71" s="20"/>
    </row>
    <row r="72" spans="1:12">
      <c r="A72" s="20" t="s">
        <v>526</v>
      </c>
      <c r="B72" s="20" t="str">
        <f>VLOOKUP(A72,'Table S6A'!A:C,2,FALSE)</f>
        <v>Actinomycetota</v>
      </c>
      <c r="C72" s="20" t="str">
        <f>VLOOKUP('Table S6B'!A72,'Table S6A'!A:C,3,FALSE)</f>
        <v>Coriobacteriaceae</v>
      </c>
      <c r="D72" s="20" t="str">
        <f>VLOOKUP(A72,'Table S6A'!A:E,4,FALSE)</f>
        <v>human feces</v>
      </c>
      <c r="E72" s="20" t="str">
        <f>VLOOKUP(A72,'Table S6A'!A:E,5,FALSE)</f>
        <v>Gastrointestinal tract</v>
      </c>
      <c r="F72" s="20">
        <v>877</v>
      </c>
      <c r="G72" s="21">
        <v>1</v>
      </c>
      <c r="H72" s="20">
        <v>0</v>
      </c>
      <c r="I72" s="20">
        <v>98.82</v>
      </c>
      <c r="J72" s="20">
        <v>425</v>
      </c>
      <c r="K72" s="20" t="str">
        <f>HYPERLINK("https://www.ncbi.nlm.nih.gov/protein/WP_117776755.1?report=genbank&amp;log$=prottop&amp;blast_rank=42&amp;RID=AS43UG39016","WP_117776755.1")</f>
        <v>WP_117776755.1</v>
      </c>
      <c r="L72" s="20"/>
    </row>
    <row r="73" spans="1:12">
      <c r="A73" s="20" t="s">
        <v>527</v>
      </c>
      <c r="B73" s="20" t="str">
        <f>VLOOKUP(A73,'Table S6A'!A:C,2,FALSE)</f>
        <v>Actinomycetota</v>
      </c>
      <c r="C73" s="20" t="str">
        <f>VLOOKUP('Table S6B'!A73,'Table S6A'!A:C,3,FALSE)</f>
        <v>Coriobacteriaceae</v>
      </c>
      <c r="D73" s="20" t="str">
        <f>VLOOKUP(A73,'Table S6A'!A:E,4,FALSE)</f>
        <v>human feces</v>
      </c>
      <c r="E73" s="20" t="str">
        <f>VLOOKUP(A73,'Table S6A'!A:E,5,FALSE)</f>
        <v>Gastrointestinal tract</v>
      </c>
      <c r="F73" s="20">
        <v>878</v>
      </c>
      <c r="G73" s="21">
        <v>1</v>
      </c>
      <c r="H73" s="20">
        <v>0</v>
      </c>
      <c r="I73" s="20">
        <v>98.82</v>
      </c>
      <c r="J73" s="20">
        <v>425</v>
      </c>
      <c r="K73" s="20" t="str">
        <f>HYPERLINK("https://www.ncbi.nlm.nih.gov/protein/WP_117774316.1?report=genbank&amp;log$=prottop&amp;blast_rank=30&amp;RID=AS43UG39016","WP_117774316.1")</f>
        <v>WP_117774316.1</v>
      </c>
      <c r="L73" s="20"/>
    </row>
    <row r="74" spans="1:12">
      <c r="A74" s="20" t="s">
        <v>528</v>
      </c>
      <c r="B74" s="20" t="str">
        <f>VLOOKUP(A74,'Table S6A'!A:C,2,FALSE)</f>
        <v>Actinomycetota</v>
      </c>
      <c r="C74" s="20" t="str">
        <f>VLOOKUP('Table S6B'!A74,'Table S6A'!A:C,3,FALSE)</f>
        <v>Coriobacteriaceae</v>
      </c>
      <c r="D74" s="20" t="str">
        <f>VLOOKUP(A74,'Table S6A'!A:E,4,FALSE)</f>
        <v>human feces</v>
      </c>
      <c r="E74" s="20" t="str">
        <f>VLOOKUP(A74,'Table S6A'!A:E,5,FALSE)</f>
        <v>Gastrointestinal tract</v>
      </c>
      <c r="F74" s="20">
        <v>876</v>
      </c>
      <c r="G74" s="21">
        <v>1</v>
      </c>
      <c r="H74" s="20">
        <v>0</v>
      </c>
      <c r="I74" s="20">
        <v>98.59</v>
      </c>
      <c r="J74" s="20">
        <v>425</v>
      </c>
      <c r="K74" s="20" t="str">
        <f>HYPERLINK("https://www.ncbi.nlm.nih.gov/protein/WP_117848795.1?report=genbank&amp;log$=prottop&amp;blast_rank=58&amp;RID=AS43UG39016","WP_117848795.1")</f>
        <v>WP_117848795.1</v>
      </c>
      <c r="L74" s="20"/>
    </row>
    <row r="75" spans="1:12">
      <c r="A75" s="20" t="s">
        <v>529</v>
      </c>
      <c r="B75" s="20" t="str">
        <f>VLOOKUP(A75,'Table S6A'!A:C,2,FALSE)</f>
        <v>Actinomycetota</v>
      </c>
      <c r="C75" s="20" t="str">
        <f>VLOOKUP('Table S6B'!A75,'Table S6A'!A:C,3,FALSE)</f>
        <v>Coriobacteriaceae</v>
      </c>
      <c r="D75" s="20" t="str">
        <f>VLOOKUP(A75,'Table S6A'!A:E,4,FALSE)</f>
        <v>human feces</v>
      </c>
      <c r="E75" s="20" t="str">
        <f>VLOOKUP(A75,'Table S6A'!A:E,5,FALSE)</f>
        <v>Gastrointestinal tract</v>
      </c>
      <c r="F75" s="20">
        <v>877</v>
      </c>
      <c r="G75" s="21">
        <v>1</v>
      </c>
      <c r="H75" s="20">
        <v>0</v>
      </c>
      <c r="I75" s="20">
        <v>98.82</v>
      </c>
      <c r="J75" s="20">
        <v>425</v>
      </c>
      <c r="K75" s="20" t="str">
        <f>HYPERLINK("https://www.ncbi.nlm.nih.gov/protein/WP_118405886.1?report=genbank&amp;log$=prottop&amp;blast_rank=49&amp;RID=AS43UG39016","WP_118405886.1")</f>
        <v>WP_118405886.1</v>
      </c>
      <c r="L75" s="20"/>
    </row>
    <row r="76" spans="1:12">
      <c r="A76" s="20" t="s">
        <v>530</v>
      </c>
      <c r="B76" s="20" t="str">
        <f>VLOOKUP(A76,'Table S6A'!A:C,2,FALSE)</f>
        <v>Actinomycetota</v>
      </c>
      <c r="C76" s="20" t="str">
        <f>VLOOKUP('Table S6B'!A76,'Table S6A'!A:C,3,FALSE)</f>
        <v>Coriobacteriaceae</v>
      </c>
      <c r="D76" s="20" t="str">
        <f>VLOOKUP(A76,'Table S6A'!A:E,4,FALSE)</f>
        <v>human feces</v>
      </c>
      <c r="E76" s="20" t="str">
        <f>VLOOKUP(A76,'Table S6A'!A:E,5,FALSE)</f>
        <v>Gastrointestinal tract</v>
      </c>
      <c r="F76" s="20">
        <v>874</v>
      </c>
      <c r="G76" s="21">
        <v>1</v>
      </c>
      <c r="H76" s="20">
        <v>0</v>
      </c>
      <c r="I76" s="20">
        <v>98.12</v>
      </c>
      <c r="J76" s="20">
        <v>425</v>
      </c>
      <c r="K76" s="20" t="str">
        <f>HYPERLINK("https://www.ncbi.nlm.nih.gov/protein/WP_118238167.1?report=genbank&amp;log$=prottop&amp;blast_rank=67&amp;RID=AS43UG39016","WP_118238167.1")</f>
        <v>WP_118238167.1</v>
      </c>
      <c r="L76" s="20"/>
    </row>
    <row r="77" spans="1:12">
      <c r="A77" s="20" t="s">
        <v>531</v>
      </c>
      <c r="B77" s="20" t="str">
        <f>VLOOKUP(A77,'Table S6A'!A:C,2,FALSE)</f>
        <v>Actinomycetota</v>
      </c>
      <c r="C77" s="20" t="str">
        <f>VLOOKUP('Table S6B'!A77,'Table S6A'!A:C,3,FALSE)</f>
        <v>Coriobacteriaceae</v>
      </c>
      <c r="D77" s="20" t="str">
        <f>VLOOKUP(A77,'Table S6A'!A:E,4,FALSE)</f>
        <v>human feces</v>
      </c>
      <c r="E77" s="20" t="str">
        <f>VLOOKUP(A77,'Table S6A'!A:E,5,FALSE)</f>
        <v>Gastrointestinal tract</v>
      </c>
      <c r="F77" s="20">
        <v>876</v>
      </c>
      <c r="G77" s="21">
        <v>1</v>
      </c>
      <c r="H77" s="20">
        <v>0</v>
      </c>
      <c r="I77" s="20">
        <v>98.59</v>
      </c>
      <c r="J77" s="20">
        <v>425</v>
      </c>
      <c r="K77" s="20" t="str">
        <f>HYPERLINK("https://www.ncbi.nlm.nih.gov/protein/WP_118267727.1?report=genbank&amp;log$=prottop&amp;blast_rank=53&amp;RID=AS43UG39016","WP_118267727.1")</f>
        <v>WP_118267727.1</v>
      </c>
      <c r="L77" s="20"/>
    </row>
    <row r="78" spans="1:12">
      <c r="A78" s="20" t="s">
        <v>532</v>
      </c>
      <c r="B78" s="20" t="str">
        <f>VLOOKUP(A78,'Table S6A'!A:C,2,FALSE)</f>
        <v>Actinomycetota</v>
      </c>
      <c r="C78" s="20" t="str">
        <f>VLOOKUP('Table S6B'!A78,'Table S6A'!A:C,3,FALSE)</f>
        <v>Coriobacteriaceae</v>
      </c>
      <c r="D78" s="20" t="str">
        <f>VLOOKUP(A78,'Table S6A'!A:E,4,FALSE)</f>
        <v>human feces</v>
      </c>
      <c r="E78" s="20" t="str">
        <f>VLOOKUP(A78,'Table S6A'!A:E,5,FALSE)</f>
        <v>Gastrointestinal tract</v>
      </c>
      <c r="F78" s="20">
        <v>872</v>
      </c>
      <c r="G78" s="21">
        <v>1</v>
      </c>
      <c r="H78" s="20">
        <v>0</v>
      </c>
      <c r="I78" s="20">
        <v>98.12</v>
      </c>
      <c r="J78" s="20">
        <v>425</v>
      </c>
      <c r="K78" s="20" t="str">
        <f>HYPERLINK("https://www.ncbi.nlm.nih.gov/protein/WP_118098116.1?report=genbank&amp;log$=prottop&amp;blast_rank=68&amp;RID=AS43UG39016","WP_118098116.1")</f>
        <v>WP_118098116.1</v>
      </c>
      <c r="L78" s="20"/>
    </row>
    <row r="79" spans="1:12">
      <c r="A79" s="20" t="s">
        <v>533</v>
      </c>
      <c r="B79" s="20" t="str">
        <f>VLOOKUP(A79,'Table S6A'!A:C,2,FALSE)</f>
        <v>Actinomycetota</v>
      </c>
      <c r="C79" s="20" t="str">
        <f>VLOOKUP('Table S6B'!A79,'Table S6A'!A:C,3,FALSE)</f>
        <v>Coriobacteriaceae</v>
      </c>
      <c r="D79" s="20" t="str">
        <f>VLOOKUP(A79,'Table S6A'!A:E,4,FALSE)</f>
        <v>human feces</v>
      </c>
      <c r="E79" s="20" t="str">
        <f>VLOOKUP(A79,'Table S6A'!A:E,5,FALSE)</f>
        <v>Gastrointestinal tract</v>
      </c>
      <c r="F79" s="20">
        <v>876</v>
      </c>
      <c r="G79" s="21">
        <v>1</v>
      </c>
      <c r="H79" s="20">
        <v>0</v>
      </c>
      <c r="I79" s="20">
        <v>98.59</v>
      </c>
      <c r="J79" s="20">
        <v>425</v>
      </c>
      <c r="K79" s="20" t="str">
        <f>HYPERLINK("https://www.ncbi.nlm.nih.gov/protein/WP_118066200.1?report=genbank&amp;log$=prottop&amp;blast_rank=59&amp;RID=AS43UG39016","WP_118066200.1")</f>
        <v>WP_118066200.1</v>
      </c>
      <c r="L79" s="20"/>
    </row>
    <row r="80" spans="1:12">
      <c r="A80" s="20" t="s">
        <v>534</v>
      </c>
      <c r="B80" s="20" t="str">
        <f>VLOOKUP(A80,'Table S6A'!A:C,2,FALSE)</f>
        <v>Actinomycetota</v>
      </c>
      <c r="C80" s="20" t="str">
        <f>VLOOKUP('Table S6B'!A80,'Table S6A'!A:C,3,FALSE)</f>
        <v>Coriobacteriaceae</v>
      </c>
      <c r="D80" s="20" t="str">
        <f>VLOOKUP(A80,'Table S6A'!A:E,4,FALSE)</f>
        <v>human feces</v>
      </c>
      <c r="E80" s="20" t="str">
        <f>VLOOKUP(A80,'Table S6A'!A:E,5,FALSE)</f>
        <v>Gastrointestinal tract</v>
      </c>
      <c r="F80" s="20">
        <v>878</v>
      </c>
      <c r="G80" s="21">
        <v>1</v>
      </c>
      <c r="H80" s="20">
        <v>0</v>
      </c>
      <c r="I80" s="20">
        <v>98.82</v>
      </c>
      <c r="J80" s="20">
        <v>425</v>
      </c>
      <c r="K80" s="20" t="str">
        <f>HYPERLINK("https://www.ncbi.nlm.nih.gov/protein/WP_117786916.1?report=genbank&amp;log$=prottop&amp;blast_rank=31&amp;RID=AS43UG39016","WP_117786916.1")</f>
        <v>WP_117786916.1</v>
      </c>
      <c r="L80" s="20"/>
    </row>
    <row r="81" spans="1:12">
      <c r="A81" s="20" t="s">
        <v>535</v>
      </c>
      <c r="B81" s="20" t="str">
        <f>VLOOKUP(A81,'Table S6A'!A:C,2,FALSE)</f>
        <v>Actinomycetota</v>
      </c>
      <c r="C81" s="20" t="str">
        <f>VLOOKUP('Table S6B'!A81,'Table S6A'!A:C,3,FALSE)</f>
        <v>Coriobacteriaceae</v>
      </c>
      <c r="D81" s="20" t="str">
        <f>VLOOKUP(A81,'Table S6A'!A:E,4,FALSE)</f>
        <v>human feces</v>
      </c>
      <c r="E81" s="20" t="str">
        <f>VLOOKUP(A81,'Table S6A'!A:E,5,FALSE)</f>
        <v>Gastrointestinal tract</v>
      </c>
      <c r="F81" s="20">
        <v>879</v>
      </c>
      <c r="G81" s="21">
        <v>1</v>
      </c>
      <c r="H81" s="20">
        <v>0</v>
      </c>
      <c r="I81" s="20">
        <v>98.59</v>
      </c>
      <c r="J81" s="20">
        <v>425</v>
      </c>
      <c r="K81" s="20" t="str">
        <f>HYPERLINK("https://www.ncbi.nlm.nih.gov/protein/WP_117800765.1?report=genbank&amp;log$=prottop&amp;blast_rank=25&amp;RID=AS43UG39016","WP_117800765.1")</f>
        <v>WP_117800765.1</v>
      </c>
      <c r="L81" s="20"/>
    </row>
    <row r="82" spans="1:12">
      <c r="A82" s="20" t="s">
        <v>536</v>
      </c>
      <c r="B82" s="20" t="str">
        <f>VLOOKUP(A82,'Table S6A'!A:C,2,FALSE)</f>
        <v>Actinomycetota</v>
      </c>
      <c r="C82" s="20" t="str">
        <f>VLOOKUP('Table S6B'!A82,'Table S6A'!A:C,3,FALSE)</f>
        <v>Coriobacteriaceae</v>
      </c>
      <c r="D82" s="20" t="str">
        <f>VLOOKUP(A82,'Table S6A'!A:E,4,FALSE)</f>
        <v>human feces</v>
      </c>
      <c r="E82" s="20" t="str">
        <f>VLOOKUP(A82,'Table S6A'!A:E,5,FALSE)</f>
        <v>Gastrointestinal tract</v>
      </c>
      <c r="F82" s="20">
        <v>879</v>
      </c>
      <c r="G82" s="21">
        <v>1</v>
      </c>
      <c r="H82" s="20">
        <v>0</v>
      </c>
      <c r="I82" s="20">
        <v>98.82</v>
      </c>
      <c r="J82" s="20">
        <v>425</v>
      </c>
      <c r="K82" s="20" t="str">
        <f>HYPERLINK("https://www.ncbi.nlm.nih.gov/protein/WP_117790293.1?report=genbank&amp;log$=prottop&amp;blast_rank=27&amp;RID=AS43UG39016","WP_117790293.1")</f>
        <v>WP_117790293.1</v>
      </c>
      <c r="L82" s="20"/>
    </row>
    <row r="83" spans="1:12">
      <c r="A83" s="20" t="s">
        <v>537</v>
      </c>
      <c r="B83" s="20" t="str">
        <f>VLOOKUP(A83,'Table S6A'!A:C,2,FALSE)</f>
        <v>Actinomycetota</v>
      </c>
      <c r="C83" s="20" t="str">
        <f>VLOOKUP('Table S6B'!A83,'Table S6A'!A:C,3,FALSE)</f>
        <v>Coriobacteriaceae</v>
      </c>
      <c r="D83" s="20" t="str">
        <f>VLOOKUP(A83,'Table S6A'!A:E,4,FALSE)</f>
        <v>chicken gut anaerobes</v>
      </c>
      <c r="E83" s="20" t="str">
        <f>VLOOKUP(A83,'Table S6A'!A:E,5,FALSE)</f>
        <v>Gastrointestinal tract</v>
      </c>
      <c r="F83" s="20">
        <v>769</v>
      </c>
      <c r="G83" s="21">
        <v>1</v>
      </c>
      <c r="H83" s="20">
        <v>0</v>
      </c>
      <c r="I83" s="20">
        <v>85.01</v>
      </c>
      <c r="J83" s="20">
        <v>427</v>
      </c>
      <c r="K83" s="20" t="str">
        <f>HYPERLINK("https://www.ncbi.nlm.nih.gov/protein/WP_087409823.1?report=genbank&amp;log$=prottop&amp;blast_rank=98&amp;RID=AS43UG39016","WP_087409823.1")</f>
        <v>WP_087409823.1</v>
      </c>
      <c r="L83" s="20"/>
    </row>
    <row r="84" spans="1:12">
      <c r="A84" s="20" t="s">
        <v>539</v>
      </c>
      <c r="B84" s="20" t="str">
        <f>VLOOKUP(A84,'Table S6A'!A:C,2,FALSE)</f>
        <v>Actinomycetota</v>
      </c>
      <c r="C84" s="20" t="str">
        <f>VLOOKUP('Table S6B'!A84,'Table S6A'!A:C,3,FALSE)</f>
        <v>Coriobacteriaceae</v>
      </c>
      <c r="D84" s="20" t="str">
        <f>VLOOKUP(A84,'Table S6A'!A:E,4,FALSE)</f>
        <v>human feces</v>
      </c>
      <c r="E84" s="20" t="str">
        <f>VLOOKUP(A84,'Table S6A'!A:E,5,FALSE)</f>
        <v>Gastrointestinal tract</v>
      </c>
      <c r="F84" s="20">
        <v>877</v>
      </c>
      <c r="G84" s="21">
        <v>1</v>
      </c>
      <c r="H84" s="20">
        <v>0</v>
      </c>
      <c r="I84" s="20">
        <v>98.82</v>
      </c>
      <c r="J84" s="20">
        <v>425</v>
      </c>
      <c r="K84" s="20" t="str">
        <f>HYPERLINK("https://www.ncbi.nlm.nih.gov/protein/CDA35923.1?report=genbank&amp;log$=prottop&amp;blast_rank=40&amp;RID=AS43UG39016","CDA35923.1")</f>
        <v>CDA35923.1</v>
      </c>
      <c r="L84" s="20"/>
    </row>
    <row r="85" spans="1:12">
      <c r="A85" s="20" t="s">
        <v>540</v>
      </c>
      <c r="B85" s="20" t="str">
        <f>VLOOKUP(A85,'Table S6A'!A:C,2,FALSE)</f>
        <v>Actinomycetota</v>
      </c>
      <c r="C85" s="20" t="str">
        <f>VLOOKUP('Table S6B'!A85,'Table S6A'!A:C,3,FALSE)</f>
        <v>Coriobacteriaceae</v>
      </c>
      <c r="D85" s="20" t="str">
        <f>VLOOKUP(A85,'Table S6A'!A:E,4,FALSE)</f>
        <v>human feces</v>
      </c>
      <c r="E85" s="20" t="str">
        <f>VLOOKUP(A85,'Table S6A'!A:E,5,FALSE)</f>
        <v>Gastrointestinal tract</v>
      </c>
      <c r="F85" s="20">
        <v>735</v>
      </c>
      <c r="G85" s="21">
        <v>1</v>
      </c>
      <c r="H85" s="20">
        <v>0</v>
      </c>
      <c r="I85" s="20">
        <v>80.14</v>
      </c>
      <c r="J85" s="20">
        <v>428</v>
      </c>
      <c r="K85" s="20" t="str">
        <f>HYPERLINK("https://www.ncbi.nlm.nih.gov/protein/CDD84350.1?report=genbank&amp;log$=prottop&amp;blast_rank=108&amp;RID=AS43UG39016","CDD84350.1")</f>
        <v>CDD84350.1</v>
      </c>
      <c r="L85" s="20"/>
    </row>
    <row r="86" spans="1:12">
      <c r="A86" s="20" t="s">
        <v>541</v>
      </c>
      <c r="B86" s="20" t="str">
        <f>VLOOKUP(A86,'Table S6A'!A:C,2,FALSE)</f>
        <v>Actinomycetota</v>
      </c>
      <c r="C86" s="20" t="str">
        <f>VLOOKUP('Table S6B'!A86,'Table S6A'!A:C,3,FALSE)</f>
        <v>Coriobacteriaceae</v>
      </c>
      <c r="D86" s="20" t="str">
        <f>VLOOKUP(A86,'Table S6A'!A:E,4,FALSE)</f>
        <v>human feces</v>
      </c>
      <c r="E86" s="20" t="str">
        <f>VLOOKUP(A86,'Table S6A'!A:E,5,FALSE)</f>
        <v>Gastrointestinal tract</v>
      </c>
      <c r="F86" s="20">
        <v>875</v>
      </c>
      <c r="G86" s="21">
        <v>1</v>
      </c>
      <c r="H86" s="20">
        <v>0</v>
      </c>
      <c r="I86" s="20">
        <v>98.35</v>
      </c>
      <c r="J86" s="20">
        <v>425</v>
      </c>
      <c r="K86" s="20" t="str">
        <f>HYPERLINK("https://www.ncbi.nlm.nih.gov/protein/WP_117806056.1?report=genbank&amp;log$=prottop&amp;blast_rank=64&amp;RID=AS43UG39016","WP_117806056.1")</f>
        <v>WP_117806056.1</v>
      </c>
      <c r="L86" s="20"/>
    </row>
    <row r="87" spans="1:12">
      <c r="A87" s="20" t="s">
        <v>542</v>
      </c>
      <c r="B87" s="20" t="str">
        <f>VLOOKUP(A87,'Table S6A'!A:C,2,FALSE)</f>
        <v>Actinomycetota</v>
      </c>
      <c r="C87" s="20" t="str">
        <f>VLOOKUP('Table S6B'!A87,'Table S6A'!A:C,3,FALSE)</f>
        <v>Coriobacteriaceae</v>
      </c>
      <c r="D87" s="20" t="str">
        <f>VLOOKUP(A87,'Table S6A'!A:E,4,FALSE)</f>
        <v>human feces</v>
      </c>
      <c r="E87" s="20" t="str">
        <f>VLOOKUP(A87,'Table S6A'!A:E,5,FALSE)</f>
        <v>Gastrointestinal tract</v>
      </c>
      <c r="F87" s="20">
        <v>878</v>
      </c>
      <c r="G87" s="21">
        <v>1</v>
      </c>
      <c r="H87" s="20">
        <v>0</v>
      </c>
      <c r="I87" s="20">
        <v>98.82</v>
      </c>
      <c r="J87" s="20">
        <v>425</v>
      </c>
      <c r="K87" s="20" t="str">
        <f>HYPERLINK("https://www.ncbi.nlm.nih.gov/protein/WP_117736886.1?report=genbank&amp;log$=prottop&amp;blast_rank=28&amp;RID=AS43UG39016","WP_117736886.1")</f>
        <v>WP_117736886.1</v>
      </c>
      <c r="L87" s="20"/>
    </row>
    <row r="88" spans="1:12">
      <c r="A88" s="20" t="s">
        <v>543</v>
      </c>
      <c r="B88" s="20" t="str">
        <f>VLOOKUP(A88,'Table S6A'!A:C,2,FALSE)</f>
        <v>Actinomycetota</v>
      </c>
      <c r="C88" s="20" t="str">
        <f>VLOOKUP('Table S6B'!A88,'Table S6A'!A:C,3,FALSE)</f>
        <v>Coriobacteriaceae</v>
      </c>
      <c r="D88" s="20" t="str">
        <f>VLOOKUP(A88,'Table S6A'!A:E,4,FALSE)</f>
        <v>human feces</v>
      </c>
      <c r="E88" s="20" t="str">
        <f>VLOOKUP(A88,'Table S6A'!A:E,5,FALSE)</f>
        <v>Gastrointestinal tract</v>
      </c>
      <c r="F88" s="20">
        <v>881</v>
      </c>
      <c r="G88" s="21">
        <v>1</v>
      </c>
      <c r="H88" s="20">
        <v>0</v>
      </c>
      <c r="I88" s="20">
        <v>99.29</v>
      </c>
      <c r="J88" s="20">
        <v>425</v>
      </c>
      <c r="K88" s="20" t="str">
        <f>HYPERLINK("https://www.ncbi.nlm.nih.gov/protein/WP_117716145.1?report=genbank&amp;log$=prottop&amp;blast_rank=7&amp;RID=AS43UG39016","WP_117716145.1")</f>
        <v>WP_117716145.1</v>
      </c>
      <c r="L88" s="20"/>
    </row>
    <row r="89" spans="1:12">
      <c r="A89" s="20" t="s">
        <v>544</v>
      </c>
      <c r="B89" s="20" t="str">
        <f>VLOOKUP(A89,'Table S6A'!A:C,2,FALSE)</f>
        <v>Actinomycetota</v>
      </c>
      <c r="C89" s="20" t="str">
        <f>VLOOKUP('Table S6B'!A89,'Table S6A'!A:C,3,FALSE)</f>
        <v>Coriobacteriaceae</v>
      </c>
      <c r="D89" s="20" t="str">
        <f>VLOOKUP(A89,'Table S6A'!A:E,4,FALSE)</f>
        <v>human feces</v>
      </c>
      <c r="E89" s="20" t="str">
        <f>VLOOKUP(A89,'Table S6A'!A:E,5,FALSE)</f>
        <v>Gastrointestinal tract</v>
      </c>
      <c r="F89" s="20">
        <v>874</v>
      </c>
      <c r="G89" s="21">
        <v>1</v>
      </c>
      <c r="H89" s="20">
        <v>0</v>
      </c>
      <c r="I89" s="20">
        <v>98.12</v>
      </c>
      <c r="J89" s="20">
        <v>425</v>
      </c>
      <c r="K89" s="20" t="str">
        <f>HYPERLINK("https://www.ncbi.nlm.nih.gov/protein/WP_117638137.1?report=genbank&amp;log$=prottop&amp;blast_rank=66&amp;RID=AS43UG39016","WP_117638137.1")</f>
        <v>WP_117638137.1</v>
      </c>
      <c r="L89" s="20"/>
    </row>
    <row r="90" spans="1:12">
      <c r="A90" s="20" t="s">
        <v>545</v>
      </c>
      <c r="B90" s="20" t="str">
        <f>VLOOKUP(A90,'Table S6A'!A:C,2,FALSE)</f>
        <v>Actinomycetota</v>
      </c>
      <c r="C90" s="20" t="str">
        <f>VLOOKUP('Table S6B'!A90,'Table S6A'!A:C,3,FALSE)</f>
        <v>Coriobacteriaceae</v>
      </c>
      <c r="D90" s="20" t="str">
        <f>VLOOKUP(A90,'Table S6A'!A:E,4,FALSE)</f>
        <v>unknown</v>
      </c>
      <c r="E90" s="20">
        <f>VLOOKUP(A90,'Table S6A'!A:E,5,FALSE)</f>
        <v>0</v>
      </c>
      <c r="F90" s="20">
        <v>735</v>
      </c>
      <c r="G90" s="21">
        <v>1</v>
      </c>
      <c r="H90" s="20">
        <v>0</v>
      </c>
      <c r="I90" s="20">
        <v>82.24</v>
      </c>
      <c r="J90" s="20">
        <v>428</v>
      </c>
      <c r="K90" s="20" t="str">
        <f>HYPERLINK("https://www.ncbi.nlm.nih.gov/protein/WP_216279102.1?report=genbank&amp;log$=prottop&amp;blast_rank=107&amp;RID=AS43UG39016","WP_216279102.1")</f>
        <v>WP_216279102.1</v>
      </c>
      <c r="L90" s="20"/>
    </row>
    <row r="91" spans="1:12">
      <c r="A91" s="20" t="s">
        <v>546</v>
      </c>
      <c r="B91" s="20" t="str">
        <f>VLOOKUP(A91,'Table S6A'!A:C,2,FALSE)</f>
        <v>Actinomycetota</v>
      </c>
      <c r="C91" s="20" t="str">
        <f>VLOOKUP('Table S6B'!A91,'Table S6A'!A:C,3,FALSE)</f>
        <v>Coriobacteriaceae</v>
      </c>
      <c r="D91" s="20" t="str">
        <f>VLOOKUP(A91,'Table S6A'!A:E,4,FALSE)</f>
        <v>human feces</v>
      </c>
      <c r="E91" s="20" t="str">
        <f>VLOOKUP(A91,'Table S6A'!A:E,5,FALSE)</f>
        <v>Gastrointestinal tract</v>
      </c>
      <c r="F91" s="20">
        <v>845</v>
      </c>
      <c r="G91" s="21">
        <v>0.99</v>
      </c>
      <c r="H91" s="20">
        <v>0</v>
      </c>
      <c r="I91" s="20">
        <v>94.81</v>
      </c>
      <c r="J91" s="20">
        <v>425</v>
      </c>
      <c r="K91" s="20" t="str">
        <f>HYPERLINK("https://www.ncbi.nlm.nih.gov/protein/WP_006721692.1?report=genbank&amp;log$=prottop&amp;blast_rank=75&amp;RID=AS43UG39016","WP_006721692.1")</f>
        <v>WP_006721692.1</v>
      </c>
      <c r="L91" s="20"/>
    </row>
    <row r="92" spans="1:12">
      <c r="A92" s="20" t="s">
        <v>547</v>
      </c>
      <c r="B92" s="20" t="str">
        <f>VLOOKUP(A92,'Table S6A'!A:C,2,FALSE)</f>
        <v>Actinomycetota</v>
      </c>
      <c r="C92" s="20" t="str">
        <f>VLOOKUP('Table S6B'!A92,'Table S6A'!A:C,3,FALSE)</f>
        <v>Coriobacteriaceae</v>
      </c>
      <c r="D92" s="20" t="str">
        <f>VLOOKUP(A92,'Table S6A'!A:E,4,FALSE)</f>
        <v>human feces</v>
      </c>
      <c r="E92" s="20" t="str">
        <f>VLOOKUP(A92,'Table S6A'!A:E,5,FALSE)</f>
        <v>Gastrointestinal tract</v>
      </c>
      <c r="F92" s="20">
        <v>853</v>
      </c>
      <c r="G92" s="21">
        <v>0.99</v>
      </c>
      <c r="H92" s="20">
        <v>0</v>
      </c>
      <c r="I92" s="20">
        <v>95.52</v>
      </c>
      <c r="J92" s="20">
        <v>425</v>
      </c>
      <c r="K92" s="20" t="str">
        <f>HYPERLINK("https://www.ncbi.nlm.nih.gov/protein/WP_270239763.1?report=genbank&amp;log$=prottop&amp;blast_rank=72&amp;RID=AS43UG39016","WP_270239763.1")</f>
        <v>WP_270239763.1</v>
      </c>
      <c r="L92" s="20"/>
    </row>
    <row r="93" spans="1:12">
      <c r="A93" s="20" t="s">
        <v>548</v>
      </c>
      <c r="B93" s="20" t="str">
        <f>VLOOKUP(A93,'Table S6A'!A:C,2,FALSE)</f>
        <v>Actinomycetota</v>
      </c>
      <c r="C93" s="20" t="str">
        <f>VLOOKUP('Table S6B'!A93,'Table S6A'!A:C,3,FALSE)</f>
        <v>Coriobacteriaceae</v>
      </c>
      <c r="D93" s="20" t="str">
        <f>VLOOKUP(A93,'Table S6A'!A:E,4,FALSE)</f>
        <v>swine feces</v>
      </c>
      <c r="E93" s="20" t="str">
        <f>VLOOKUP(A93,'Table S6A'!A:E,5,FALSE)</f>
        <v>Gastrointestinal tract</v>
      </c>
      <c r="F93" s="20">
        <v>754</v>
      </c>
      <c r="G93" s="21">
        <v>1</v>
      </c>
      <c r="H93" s="20">
        <v>0</v>
      </c>
      <c r="I93" s="20">
        <v>84.11</v>
      </c>
      <c r="J93" s="20">
        <v>428</v>
      </c>
      <c r="K93" s="20" t="str">
        <f>HYPERLINK("https://www.ncbi.nlm.nih.gov/protein/MBY4798126.1?report=genbank&amp;log$=prottop&amp;blast_rank=102&amp;RID=AS43UG39016","MBY4798126.1")</f>
        <v>MBY4798126.1</v>
      </c>
      <c r="L93" s="20"/>
    </row>
    <row r="94" spans="1:12">
      <c r="A94" s="20" t="s">
        <v>550</v>
      </c>
      <c r="B94" s="20" t="str">
        <f>VLOOKUP(A94,'Table S6A'!A:C,2,FALSE)</f>
        <v>Actinomycetota</v>
      </c>
      <c r="C94" s="20" t="str">
        <f>VLOOKUP('Table S6B'!A94,'Table S6A'!A:C,3,FALSE)</f>
        <v>Coriobacteriaceae</v>
      </c>
      <c r="D94" s="20" t="str">
        <f>VLOOKUP(A94,'Table S6A'!A:E,4,FALSE)</f>
        <v>patient suffering from bacterial vaginosis</v>
      </c>
      <c r="E94" s="20" t="str">
        <f>VLOOKUP(A94,'Table S6A'!A:E,5,FALSE)</f>
        <v>infection</v>
      </c>
      <c r="F94" s="20">
        <v>795</v>
      </c>
      <c r="G94" s="21">
        <v>1</v>
      </c>
      <c r="H94" s="20">
        <v>0</v>
      </c>
      <c r="I94" s="20">
        <v>88.52</v>
      </c>
      <c r="J94" s="20">
        <v>427</v>
      </c>
      <c r="K94" s="20" t="str">
        <f>HYPERLINK("https://www.ncbi.nlm.nih.gov/protein/WP_085830651.1?report=genbank&amp;log$=prottop&amp;blast_rank=91&amp;RID=AS43UG39016","WP_085830651.1")</f>
        <v>WP_085830651.1</v>
      </c>
      <c r="L94" s="20"/>
    </row>
    <row r="95" spans="1:12">
      <c r="A95" s="20" t="s">
        <v>552</v>
      </c>
      <c r="B95" s="20" t="str">
        <f>VLOOKUP(A95,'Table S6A'!A:C,2,FALSE)</f>
        <v>Actinomycetota</v>
      </c>
      <c r="C95" s="20" t="str">
        <f>VLOOKUP('Table S6B'!A95,'Table S6A'!A:C,3,FALSE)</f>
        <v>Coriobacteriaceae</v>
      </c>
      <c r="D95" s="20" t="str">
        <f>VLOOKUP(A95,'Table S6A'!A:E,4,FALSE)</f>
        <v>human feces</v>
      </c>
      <c r="E95" s="20" t="str">
        <f>VLOOKUP(A95,'Table S6A'!A:E,5,FALSE)</f>
        <v>Gastrointestinal tract</v>
      </c>
      <c r="F95" s="20">
        <v>877</v>
      </c>
      <c r="G95" s="21">
        <v>1</v>
      </c>
      <c r="H95" s="20">
        <v>0</v>
      </c>
      <c r="I95" s="20">
        <v>98.82</v>
      </c>
      <c r="J95" s="20">
        <v>425</v>
      </c>
      <c r="K95" s="20" t="str">
        <f>HYPERLINK("https://www.ncbi.nlm.nih.gov/protein/UYI99445.1?report=genbank&amp;log$=prottop&amp;blast_rank=46&amp;RID=AS43UG39016","UYI99445.1")</f>
        <v>UYI99445.1</v>
      </c>
      <c r="L95" s="20"/>
    </row>
    <row r="96" spans="1:12">
      <c r="A96" s="20" t="s">
        <v>553</v>
      </c>
      <c r="B96" s="20" t="str">
        <f>VLOOKUP(A96,'Table S6A'!A:C,2,FALSE)</f>
        <v>Actinomycetota</v>
      </c>
      <c r="C96" s="20" t="str">
        <f>VLOOKUP('Table S6B'!A96,'Table S6A'!A:C,3,FALSE)</f>
        <v>Coriobacteriaceae</v>
      </c>
      <c r="D96" s="20" t="str">
        <f>VLOOKUP(A96,'Table S6A'!A:E,4,FALSE)</f>
        <v>human feces</v>
      </c>
      <c r="E96" s="20" t="str">
        <f>VLOOKUP(A96,'Table S6A'!A:E,5,FALSE)</f>
        <v>Gastrointestinal tract</v>
      </c>
      <c r="F96" s="20">
        <v>578</v>
      </c>
      <c r="G96" s="21">
        <v>0.97</v>
      </c>
      <c r="H96" s="20">
        <v>0</v>
      </c>
      <c r="I96" s="20">
        <v>67.39</v>
      </c>
      <c r="J96" s="20">
        <v>417</v>
      </c>
      <c r="K96" s="20" t="str">
        <f>HYPERLINK("https://www.ncbi.nlm.nih.gov/protein/PWM34891.1?report=genbank&amp;log$=prottop&amp;blast_rank=155&amp;RID=AS43UG39016","PWM34891.1")</f>
        <v>PWM34891.1</v>
      </c>
      <c r="L96" s="20"/>
    </row>
    <row r="97" spans="1:12">
      <c r="A97" s="20" t="s">
        <v>554</v>
      </c>
      <c r="B97" s="20" t="str">
        <f>VLOOKUP(A97,'Table S6A'!A:C,2,FALSE)</f>
        <v>Thermotogota</v>
      </c>
      <c r="C97" s="20" t="str">
        <f>VLOOKUP('Table S6B'!A97,'Table S6A'!A:C,3,FALSE)</f>
        <v>Petrotogaceae</v>
      </c>
      <c r="D97" s="20" t="str">
        <f>VLOOKUP(A97,'Table S6A'!A:E,4,FALSE)</f>
        <v>mesothermic and anaerobic whey digester</v>
      </c>
      <c r="E97" s="20" t="str">
        <f>VLOOKUP(A97,'Table S6A'!A:E,5,FALSE)</f>
        <v>Engineered</v>
      </c>
      <c r="F97" s="20">
        <v>454</v>
      </c>
      <c r="G97" s="21">
        <v>0.96</v>
      </c>
      <c r="H97" s="22">
        <v>9.9999999999999997E-155</v>
      </c>
      <c r="I97" s="20">
        <v>54.61</v>
      </c>
      <c r="J97" s="20">
        <v>413</v>
      </c>
      <c r="K97" s="20" t="str">
        <f>HYPERLINK("https://www.ncbi.nlm.nih.gov/protein/HHV01538.1?report=genbank&amp;log$=prottop&amp;blast_rank=360&amp;RID=AS43UG39016","HHV01538.1")</f>
        <v>HHV01538.1</v>
      </c>
      <c r="L97" s="20"/>
    </row>
    <row r="98" spans="1:12">
      <c r="A98" s="20" t="s">
        <v>558</v>
      </c>
      <c r="B98" s="20" t="s">
        <v>559</v>
      </c>
      <c r="C98" s="20"/>
      <c r="D98" s="20" t="str">
        <f>VLOOKUP(A98,'Table S6A'!A:E,4,FALSE)</f>
        <v>insect guts</v>
      </c>
      <c r="E98" s="20" t="str">
        <f>VLOOKUP(A98,'Table S6A'!A:E,5,FALSE)</f>
        <v>Gastrointestinal tract</v>
      </c>
      <c r="F98" s="20">
        <v>497</v>
      </c>
      <c r="G98" s="21">
        <v>0.96</v>
      </c>
      <c r="H98" s="22">
        <v>9.9999999999999998E-172</v>
      </c>
      <c r="I98" s="20">
        <v>57.66</v>
      </c>
      <c r="J98" s="20">
        <v>414</v>
      </c>
      <c r="K98" s="20" t="str">
        <f>HYPERLINK("https://www.ncbi.nlm.nih.gov/protein/UQZ88881.1?report=genbank&amp;log$=prottop&amp;blast_rank=212&amp;RID=AS43UG39016","UQZ88881.1")</f>
        <v>UQZ88881.1</v>
      </c>
      <c r="L98" s="20"/>
    </row>
    <row r="99" spans="1:12">
      <c r="A99" s="20" t="s">
        <v>562</v>
      </c>
      <c r="B99" s="20" t="str">
        <f>VLOOKUP(A99,'Table S6A'!A:C,2,FALSE)</f>
        <v> Bacillota</v>
      </c>
      <c r="C99" s="20" t="str">
        <f>VLOOKUP('Table S6B'!A99,'Table S6A'!A:C,3,FALSE)</f>
        <v>Desulfitobacteriaceae</v>
      </c>
      <c r="D99" s="20" t="str">
        <f>VLOOKUP(A99,'Table S6A'!A:E,4,FALSE)</f>
        <v>unknown</v>
      </c>
      <c r="E99" s="20"/>
      <c r="F99" s="20">
        <v>416</v>
      </c>
      <c r="G99" s="21">
        <v>0.96</v>
      </c>
      <c r="H99" s="22">
        <v>7.9999999999999999E-140</v>
      </c>
      <c r="I99" s="20">
        <v>50.12</v>
      </c>
      <c r="J99" s="20">
        <v>415</v>
      </c>
      <c r="K99" s="20" t="str">
        <f>HYPERLINK("https://www.ncbi.nlm.nih.gov/protein/WP_135379930.1?report=genbank&amp;log$=prottop&amp;blast_rank=422&amp;RID=AS43UG39016","WP_135379930.1")</f>
        <v>WP_135379930.1</v>
      </c>
      <c r="L99" s="20"/>
    </row>
    <row r="100" spans="1:12">
      <c r="A100" s="20" t="s">
        <v>564</v>
      </c>
      <c r="B100" s="20" t="str">
        <f>VLOOKUP(A100,'Table S6A'!A:C,2,FALSE)</f>
        <v> Bacillota</v>
      </c>
      <c r="C100" s="20" t="str">
        <f>VLOOKUP('Table S6B'!A100,'Table S6A'!A:C,3,FALSE)</f>
        <v>Erysipelotrichaceae</v>
      </c>
      <c r="D100" s="20" t="str">
        <f>VLOOKUP(A100,'Table S6A'!A:E,4,FALSE)</f>
        <v>human feces</v>
      </c>
      <c r="E100" s="20" t="str">
        <f>VLOOKUP(A100,'Table S6A'!A:E,5,FALSE)</f>
        <v>Gastrointestinal tract</v>
      </c>
      <c r="F100" s="20">
        <v>486</v>
      </c>
      <c r="G100" s="21">
        <v>0.96</v>
      </c>
      <c r="H100" s="22">
        <v>2E-167</v>
      </c>
      <c r="I100" s="20">
        <v>57.25</v>
      </c>
      <c r="J100" s="20">
        <v>413</v>
      </c>
      <c r="K100" s="20" t="str">
        <f>HYPERLINK("https://www.ncbi.nlm.nih.gov/protein/WP_022937863.1?report=genbank&amp;log$=prottop&amp;blast_rank=266&amp;RID=AS43UG39016","WP_022937863.1")</f>
        <v>WP_022937863.1</v>
      </c>
      <c r="L100" s="20"/>
    </row>
    <row r="101" spans="1:12">
      <c r="A101" s="20" t="s">
        <v>565</v>
      </c>
      <c r="B101" s="20" t="str">
        <f>VLOOKUP(A101,'Table S6A'!A:C,2,FALSE)</f>
        <v>Actinomycetota</v>
      </c>
      <c r="C101" s="20" t="str">
        <f>VLOOKUP('Table S6B'!A101,'Table S6A'!A:C,3,FALSE)</f>
        <v>Coriobacteriaceae</v>
      </c>
      <c r="D101" s="20" t="str">
        <f>VLOOKUP(A101,'Table S6A'!A:E,4,FALSE)</f>
        <v>stool sample from a patient</v>
      </c>
      <c r="E101" s="20" t="str">
        <f>VLOOKUP(A101,'Table S6A'!A:E,5,FALSE)</f>
        <v>infection</v>
      </c>
      <c r="F101" s="20">
        <v>767</v>
      </c>
      <c r="G101" s="21">
        <v>1</v>
      </c>
      <c r="H101" s="20">
        <v>0</v>
      </c>
      <c r="I101" s="20">
        <v>84.31</v>
      </c>
      <c r="J101" s="20">
        <v>427</v>
      </c>
      <c r="K101" s="20" t="str">
        <f>HYPERLINK("https://www.ncbi.nlm.nih.gov/protein/WP_204673205.1?report=genbank&amp;log$=prottop&amp;blast_rank=99&amp;RID=AS43UG39016","WP_204673205.1")</f>
        <v>WP_204673205.1</v>
      </c>
      <c r="L101" s="20"/>
    </row>
    <row r="102" spans="1:12">
      <c r="A102" s="20" t="s">
        <v>567</v>
      </c>
      <c r="B102" s="20" t="str">
        <f>VLOOKUP(A102,'Table S6A'!A:C,2,FALSE)</f>
        <v> Bacillota</v>
      </c>
      <c r="C102" s="20" t="str">
        <f>VLOOKUP('Table S6B'!A102,'Table S6A'!A:C,3,FALSE)</f>
        <v>Lachnospiraceae</v>
      </c>
      <c r="D102" s="20" t="str">
        <f>VLOOKUP(A102,'Table S6A'!A:E,4,FALSE)</f>
        <v>clinical infections in California</v>
      </c>
      <c r="E102" s="20" t="str">
        <f>VLOOKUP(A102,'Table S6A'!A:E,5,FALSE)</f>
        <v>infection</v>
      </c>
      <c r="F102" s="20">
        <v>488</v>
      </c>
      <c r="G102" s="21">
        <v>0.95</v>
      </c>
      <c r="H102" s="22">
        <v>6.9999999999999996E-168</v>
      </c>
      <c r="I102" s="20">
        <v>58.09</v>
      </c>
      <c r="J102" s="20">
        <v>413</v>
      </c>
      <c r="K102" s="20" t="str">
        <f>HYPERLINK("https://www.ncbi.nlm.nih.gov/protein/WP_117557731.1?report=genbank&amp;log$=prottop&amp;blast_rank=262&amp;RID=AS43UG39016","WP_117557731.1")</f>
        <v>WP_117557731.1</v>
      </c>
      <c r="L102" s="20"/>
    </row>
    <row r="103" spans="1:12">
      <c r="A103" s="20" t="s">
        <v>569</v>
      </c>
      <c r="B103" s="20" t="str">
        <f>VLOOKUP(A103,'Table S6A'!A:C,2,FALSE)</f>
        <v> Bacillota</v>
      </c>
      <c r="C103" s="20" t="str">
        <f>VLOOKUP('Table S6B'!A103,'Table S6A'!A:C,3,FALSE)</f>
        <v>Lachnospiraceae</v>
      </c>
      <c r="D103" s="20" t="str">
        <f>VLOOKUP(A103,'Table S6A'!A:E,4,FALSE)</f>
        <v>clinical infections in California</v>
      </c>
      <c r="E103" s="20" t="str">
        <f>VLOOKUP(A103,'Table S6A'!A:E,5,FALSE)</f>
        <v>infection</v>
      </c>
      <c r="F103" s="20">
        <v>484</v>
      </c>
      <c r="G103" s="21">
        <v>0.95</v>
      </c>
      <c r="H103" s="22">
        <v>1E-166</v>
      </c>
      <c r="I103" s="20">
        <v>58.09</v>
      </c>
      <c r="J103" s="20">
        <v>413</v>
      </c>
      <c r="K103" s="20" t="str">
        <f>HYPERLINK("https://www.ncbi.nlm.nih.gov/protein/WP_083425160.1?report=genbank&amp;log$=prottop&amp;blast_rank=272&amp;RID=AS43UG39016","WP_083425160.1")</f>
        <v>WP_083425160.1</v>
      </c>
      <c r="L103" s="20"/>
    </row>
    <row r="104" spans="1:12">
      <c r="A104" s="20" t="s">
        <v>570</v>
      </c>
      <c r="B104" s="20" t="str">
        <f>VLOOKUP(A104,'Table S6A'!A:C,2,FALSE)</f>
        <v> Bacillota</v>
      </c>
      <c r="C104" s="20" t="str">
        <f>VLOOKUP('Table S6B'!A104,'Table S6A'!A:C,3,FALSE)</f>
        <v>Lachnospiraceae</v>
      </c>
      <c r="D104" s="20" t="str">
        <f>VLOOKUP(A104,'Table S6A'!A:E,4,FALSE)</f>
        <v>human feces</v>
      </c>
      <c r="E104" s="20" t="str">
        <f>VLOOKUP(A104,'Table S6A'!A:E,5,FALSE)</f>
        <v>Gastrointestinal tract</v>
      </c>
      <c r="F104" s="20">
        <v>503</v>
      </c>
      <c r="G104" s="21">
        <v>0.96</v>
      </c>
      <c r="H104" s="22">
        <v>4E-174</v>
      </c>
      <c r="I104" s="20">
        <v>58.98</v>
      </c>
      <c r="J104" s="20">
        <v>413</v>
      </c>
      <c r="K104" s="20" t="str">
        <f>HYPERLINK("https://www.ncbi.nlm.nih.gov/protein/MCI6126390.1?report=genbank&amp;log$=prottop&amp;blast_rank=199&amp;RID=AS43UG39016","MCI6126390.1")</f>
        <v>MCI6126390.1</v>
      </c>
      <c r="L104" s="20"/>
    </row>
    <row r="105" spans="1:12">
      <c r="A105" s="20" t="s">
        <v>571</v>
      </c>
      <c r="B105" s="20" t="str">
        <f>VLOOKUP(A105,'Table S6A'!A:C,2,FALSE)</f>
        <v> Bacillota</v>
      </c>
      <c r="C105" s="20" t="str">
        <f>VLOOKUP('Table S6B'!A105,'Table S6A'!A:C,3,FALSE)</f>
        <v>Enterococcaceae</v>
      </c>
      <c r="D105" s="20" t="str">
        <f>VLOOKUP(A105,'Table S6A'!A:E,4,FALSE)</f>
        <v xml:space="preserve">gut </v>
      </c>
      <c r="E105" s="20" t="str">
        <f>VLOOKUP(A105,'Table S6A'!A:E,5,FALSE)</f>
        <v>Gastrointestinal tract</v>
      </c>
      <c r="F105" s="20">
        <v>476</v>
      </c>
      <c r="G105" s="21">
        <v>0.96</v>
      </c>
      <c r="H105" s="22">
        <v>3.9999999999999997E-163</v>
      </c>
      <c r="I105" s="20">
        <v>55.83</v>
      </c>
      <c r="J105" s="20">
        <v>413</v>
      </c>
      <c r="K105" s="20" t="str">
        <f>HYPERLINK("https://www.ncbi.nlm.nih.gov/protein/MCD7961861.1?report=genbank&amp;log$=prottop&amp;blast_rank=290&amp;RID=AS43UG39016","MCD7961861.1")</f>
        <v>MCD7961861.1</v>
      </c>
      <c r="L105" s="20"/>
    </row>
    <row r="106" spans="1:12">
      <c r="A106" s="20" t="s">
        <v>574</v>
      </c>
      <c r="B106" s="20" t="str">
        <f>VLOOKUP(A106,'Table S6A'!A:C,2,FALSE)</f>
        <v> Bacillota</v>
      </c>
      <c r="C106" s="20" t="str">
        <f>VLOOKUP('Table S6B'!A106,'Table S6A'!A:C,3,FALSE)</f>
        <v>Erysipelotrichaceae</v>
      </c>
      <c r="D106" s="20" t="str">
        <f>VLOOKUP(A106,'Table S6A'!A:E,4,FALSE)</f>
        <v>pig gut</v>
      </c>
      <c r="E106" s="20" t="str">
        <f>VLOOKUP(A106,'Table S6A'!A:E,5,FALSE)</f>
        <v>Gastrointestinal tract</v>
      </c>
      <c r="F106" s="20">
        <v>507</v>
      </c>
      <c r="G106" s="21">
        <v>0.96</v>
      </c>
      <c r="H106" s="22">
        <v>2E-175</v>
      </c>
      <c r="I106" s="20">
        <v>58.94</v>
      </c>
      <c r="J106" s="20">
        <v>413</v>
      </c>
      <c r="K106" s="20" t="str">
        <f>HYPERLINK("https://www.ncbi.nlm.nih.gov/protein/MCI5773468.1?report=genbank&amp;log$=prottop&amp;blast_rank=194&amp;RID=AS43UG39016","MCI5773468.1")</f>
        <v>MCI5773468.1</v>
      </c>
      <c r="L106" s="20"/>
    </row>
    <row r="107" spans="1:12">
      <c r="A107" s="20" t="s">
        <v>576</v>
      </c>
      <c r="B107" s="20" t="str">
        <f>VLOOKUP(A107,'Table S6A'!A:C,2,FALSE)</f>
        <v> Bacillota</v>
      </c>
      <c r="C107" s="20" t="str">
        <f>VLOOKUP('Table S6B'!A107,'Table S6A'!A:C,3,FALSE)</f>
        <v>Eubacteriaceae</v>
      </c>
      <c r="D107" s="20" t="str">
        <f>VLOOKUP(A107,'Table S6A'!A:E,4,FALSE)</f>
        <v>pig gut</v>
      </c>
      <c r="E107" s="20" t="str">
        <f>VLOOKUP(A107,'Table S6A'!A:E,5,FALSE)</f>
        <v>Gastrointestinal tract</v>
      </c>
      <c r="F107" s="20">
        <v>505</v>
      </c>
      <c r="G107" s="21">
        <v>0.96</v>
      </c>
      <c r="H107" s="22">
        <v>1E-174</v>
      </c>
      <c r="I107" s="20">
        <v>58.94</v>
      </c>
      <c r="J107" s="20">
        <v>414</v>
      </c>
      <c r="K107" s="20" t="str">
        <f>HYPERLINK("https://www.ncbi.nlm.nih.gov/protein/MCI5998671.1?report=genbank&amp;log$=prottop&amp;blast_rank=196&amp;RID=AS43UG39016","MCI5998671.1")</f>
        <v>MCI5998671.1</v>
      </c>
      <c r="L107" s="20"/>
    </row>
    <row r="108" spans="1:12">
      <c r="A108" s="20" t="s">
        <v>577</v>
      </c>
      <c r="B108" s="20" t="str">
        <f>VLOOKUP(A108,'Table S6A'!A:C,2,FALSE)</f>
        <v> Bacillota</v>
      </c>
      <c r="C108" s="20" t="s">
        <v>578</v>
      </c>
      <c r="D108" s="20" t="str">
        <f>VLOOKUP(A108,'Table S6A'!A:E,4,FALSE)</f>
        <v>pig gut</v>
      </c>
      <c r="E108" s="20" t="str">
        <f>VLOOKUP(A108,'Table S6A'!A:E,5,FALSE)</f>
        <v>Gastrointestinal tract</v>
      </c>
      <c r="F108" s="20">
        <v>507</v>
      </c>
      <c r="G108" s="21">
        <v>0.96</v>
      </c>
      <c r="H108" s="22">
        <v>2E-175</v>
      </c>
      <c r="I108" s="20">
        <v>58.94</v>
      </c>
      <c r="J108" s="20">
        <v>414</v>
      </c>
      <c r="K108" s="20" t="str">
        <f>HYPERLINK("https://www.ncbi.nlm.nih.gov/protein/MDD6477906.1?report=genbank&amp;log$=prottop&amp;blast_rank=195&amp;RID=AS43UG39016","MDD6477906.1")</f>
        <v>MDD6477906.1</v>
      </c>
      <c r="L108" s="20"/>
    </row>
    <row r="109" spans="1:12">
      <c r="A109" s="20" t="s">
        <v>579</v>
      </c>
      <c r="B109" s="20" t="str">
        <f>VLOOKUP(A109,'Table S6A'!A:C,2,FALSE)</f>
        <v>Actinomycetota</v>
      </c>
      <c r="C109" s="20" t="str">
        <f>VLOOKUP('Table S6B'!A109,'Table S6A'!A:C,3,FALSE)</f>
        <v>Actinomycetaceae</v>
      </c>
      <c r="D109" s="20" t="str">
        <f>VLOOKUP(A109,'Table S6A'!A:E,4,FALSE)</f>
        <v>bacterial vaginosis</v>
      </c>
      <c r="E109" s="20" t="str">
        <f>VLOOKUP(A109,'Table S6A'!A:E,5,FALSE)</f>
        <v>infection</v>
      </c>
      <c r="F109" s="20">
        <v>581</v>
      </c>
      <c r="G109" s="21">
        <v>0.97</v>
      </c>
      <c r="H109" s="20">
        <v>0</v>
      </c>
      <c r="I109" s="20">
        <v>65.94</v>
      </c>
      <c r="J109" s="20">
        <v>415</v>
      </c>
      <c r="K109" s="20" t="str">
        <f>HYPERLINK("https://www.ncbi.nlm.nih.gov/protein/EFL43943.1?report=genbank&amp;log$=prottop&amp;blast_rank=149&amp;RID=AS43UG39016","EFL43943.1")</f>
        <v>EFL43943.1</v>
      </c>
      <c r="L109" s="20"/>
    </row>
    <row r="110" spans="1:12">
      <c r="A110" s="20" t="s">
        <v>581</v>
      </c>
      <c r="B110" s="20" t="str">
        <f>VLOOKUP(A110,'Table S6A'!A:C,2,FALSE)</f>
        <v> Bacillota</v>
      </c>
      <c r="C110" s="20" t="str">
        <f>VLOOKUP('Table S6B'!A110,'Table S6A'!A:C,3,FALSE)</f>
        <v>Oscillospiraceae</v>
      </c>
      <c r="D110" s="20" t="str">
        <f>VLOOKUP(A110,'Table S6A'!A:E,4,FALSE)</f>
        <v>human blood</v>
      </c>
      <c r="E110" s="20" t="str">
        <f>VLOOKUP(A110,'Table S6A'!A:E,5,FALSE)</f>
        <v>blood</v>
      </c>
      <c r="F110" s="20">
        <v>451</v>
      </c>
      <c r="G110" s="21">
        <v>0.95</v>
      </c>
      <c r="H110" s="22">
        <v>3E-153</v>
      </c>
      <c r="I110" s="20">
        <v>53.19</v>
      </c>
      <c r="J110" s="20">
        <v>414</v>
      </c>
      <c r="K110" s="20" t="str">
        <f>HYPERLINK("https://www.ncbi.nlm.nih.gov/protein/WP_106012442.1?report=genbank&amp;log$=prottop&amp;blast_rank=372&amp;RID=AS43UG39016","WP_106012442.1")</f>
        <v>WP_106012442.1</v>
      </c>
      <c r="L110" s="20"/>
    </row>
    <row r="111" spans="1:12">
      <c r="A111" s="20" t="s">
        <v>584</v>
      </c>
      <c r="B111" s="20" t="str">
        <f>VLOOKUP(A111,'Table S6A'!A:C,2,FALSE)</f>
        <v> Bacillota</v>
      </c>
      <c r="C111" s="20" t="str">
        <f>VLOOKUP('Table S6B'!A111,'Table S6A'!A:C,3,FALSE)</f>
        <v>Oscillospiraceae</v>
      </c>
      <c r="D111" s="20" t="str">
        <f>VLOOKUP(A111,'Table S6A'!A:E,4,FALSE)</f>
        <v>human feces</v>
      </c>
      <c r="E111" s="20" t="str">
        <f>VLOOKUP(A111,'Table S6A'!A:E,5,FALSE)</f>
        <v>Gastrointestinal tract</v>
      </c>
      <c r="F111" s="20">
        <v>492</v>
      </c>
      <c r="G111" s="21">
        <v>0.96</v>
      </c>
      <c r="H111" s="22">
        <v>1E-169</v>
      </c>
      <c r="I111" s="20">
        <v>58.7</v>
      </c>
      <c r="J111" s="20">
        <v>413</v>
      </c>
      <c r="K111" s="20" t="str">
        <f>HYPERLINK("https://www.ncbi.nlm.nih.gov/protein/WP_058963194.1?report=genbank&amp;log$=prottop&amp;blast_rank=229&amp;RID=AS43UG39016","WP_058963194.1")</f>
        <v>WP_058963194.1</v>
      </c>
      <c r="L111" s="20"/>
    </row>
    <row r="112" spans="1:12">
      <c r="A112" s="20" t="s">
        <v>585</v>
      </c>
      <c r="B112" s="20" t="str">
        <f>VLOOKUP(A112,'Table S6A'!A:C,2,FALSE)</f>
        <v> Bacillota</v>
      </c>
      <c r="C112" s="20" t="str">
        <f>VLOOKUP('Table S6B'!A112,'Table S6A'!A:C,3,FALSE)</f>
        <v>Oscillospiraceae</v>
      </c>
      <c r="D112" s="20" t="str">
        <f>VLOOKUP(A112,'Table S6A'!A:E,4,FALSE)</f>
        <v>chicken intestine</v>
      </c>
      <c r="E112" s="20" t="str">
        <f>VLOOKUP(A112,'Table S6A'!A:E,5,FALSE)</f>
        <v>Gastrointestinal tract</v>
      </c>
      <c r="F112" s="20">
        <v>488</v>
      </c>
      <c r="G112" s="21">
        <v>0.96</v>
      </c>
      <c r="H112" s="22">
        <v>2.9999999999999999E-168</v>
      </c>
      <c r="I112" s="20">
        <v>58.21</v>
      </c>
      <c r="J112" s="20">
        <v>413</v>
      </c>
      <c r="K112" s="20" t="str">
        <f>HYPERLINK("https://www.ncbi.nlm.nih.gov/protein/WP_270912988.1?report=genbank&amp;log$=prottop&amp;blast_rank=259&amp;RID=AS43UG39016","WP_270912988.1")</f>
        <v>WP_270912988.1</v>
      </c>
      <c r="L112" s="20"/>
    </row>
    <row r="113" spans="1:12">
      <c r="A113" s="20" t="s">
        <v>587</v>
      </c>
      <c r="B113" s="20" t="str">
        <f>VLOOKUP(A113,'Table S6A'!A:C,2,FALSE)</f>
        <v> Synergistota</v>
      </c>
      <c r="C113" s="20" t="str">
        <f>VLOOKUP('Table S6B'!A113,'Table S6A'!A:C,3,FALSE)</f>
        <v>Aminobacteriaceae</v>
      </c>
      <c r="D113" s="20" t="str">
        <f>VLOOKUP(A113,'Table S6A'!A:E,4,FALSE)</f>
        <v>unknown</v>
      </c>
      <c r="E113" s="20"/>
      <c r="F113" s="20">
        <v>482</v>
      </c>
      <c r="G113" s="21">
        <v>0.96</v>
      </c>
      <c r="H113" s="22">
        <v>1E-165</v>
      </c>
      <c r="I113" s="20">
        <v>56.66</v>
      </c>
      <c r="J113" s="20">
        <v>417</v>
      </c>
      <c r="K113" s="20" t="str">
        <f>HYPERLINK("https://www.ncbi.nlm.nih.gov/protein/WP_124888913.1?report=genbank&amp;log$=prottop&amp;blast_rank=282&amp;RID=AS43UG39016","WP_124888913.1")</f>
        <v>WP_124888913.1</v>
      </c>
      <c r="L113" s="20"/>
    </row>
    <row r="114" spans="1:12">
      <c r="A114" s="20" t="s">
        <v>590</v>
      </c>
      <c r="B114" s="20" t="str">
        <f>VLOOKUP(A114,'Table S6A'!A:C,2,FALSE)</f>
        <v> Bacillota</v>
      </c>
      <c r="C114" s="20" t="str">
        <f>VLOOKUP('Table S6B'!A114,'Table S6A'!A:C,3,FALSE)</f>
        <v>Peptoniphilaceae</v>
      </c>
      <c r="D114" s="20" t="str">
        <f>VLOOKUP(A114,'Table S6A'!A:E,4,FALSE)</f>
        <v>unknown</v>
      </c>
      <c r="E114" s="20"/>
      <c r="F114" s="20">
        <v>462</v>
      </c>
      <c r="G114" s="21">
        <v>0.97</v>
      </c>
      <c r="H114" s="22">
        <v>9.9999999999999994E-158</v>
      </c>
      <c r="I114" s="20">
        <v>52.64</v>
      </c>
      <c r="J114" s="20">
        <v>419</v>
      </c>
      <c r="K114" s="20" t="str">
        <f>HYPERLINK("https://www.ncbi.nlm.nih.gov/protein/HHX68059.1?report=genbank&amp;log$=prottop&amp;blast_rank=336&amp;RID=AS43UG39016","HHX68059.1")</f>
        <v>HHX68059.1</v>
      </c>
      <c r="L114" s="20"/>
    </row>
    <row r="115" spans="1:12">
      <c r="A115" s="20" t="s">
        <v>592</v>
      </c>
      <c r="B115" s="20" t="str">
        <f>VLOOKUP(A115,'Table S6A'!A:C,2,FALSE)</f>
        <v> Bacillota</v>
      </c>
      <c r="C115" s="20" t="s">
        <v>503</v>
      </c>
      <c r="D115" s="20" t="str">
        <f>VLOOKUP(A115,'Table S6A'!A:E,4,FALSE)</f>
        <v>chicken gut anaerobes</v>
      </c>
      <c r="E115" s="20" t="str">
        <f>VLOOKUP(A115,'Table S6A'!A:E,5,FALSE)</f>
        <v>Gastrointestinal tract</v>
      </c>
      <c r="F115" s="20">
        <v>493</v>
      </c>
      <c r="G115" s="21">
        <v>0.96</v>
      </c>
      <c r="H115" s="22">
        <v>6.9999999999999997E-170</v>
      </c>
      <c r="I115" s="20">
        <v>58.7</v>
      </c>
      <c r="J115" s="20">
        <v>413</v>
      </c>
      <c r="K115" s="20" t="str">
        <f>HYPERLINK("https://www.ncbi.nlm.nih.gov/protein/WP_087181666.1?report=genbank&amp;log$=prottop&amp;blast_rank=226&amp;RID=AS43UG39016","WP_087181666.1")</f>
        <v>WP_087181666.1</v>
      </c>
      <c r="L115" s="20"/>
    </row>
    <row r="116" spans="1:12">
      <c r="A116" s="20" t="s">
        <v>593</v>
      </c>
      <c r="B116" s="20" t="str">
        <f>VLOOKUP(A116,'Table S6A'!A:C,2,FALSE)</f>
        <v>Actinomycetota</v>
      </c>
      <c r="C116" s="20" t="str">
        <f>VLOOKUP('Table S6B'!A116,'Table S6A'!A:C,3,FALSE)</f>
        <v>Actinomycetaceae</v>
      </c>
      <c r="D116" s="20" t="str">
        <f>VLOOKUP(A116,'Table S6A'!A:E,4,FALSE)</f>
        <v>wound swab</v>
      </c>
      <c r="E116" s="20" t="str">
        <f>VLOOKUP(A116,'Table S6A'!A:E,5,FALSE)</f>
        <v>infection</v>
      </c>
      <c r="F116" s="20">
        <v>446</v>
      </c>
      <c r="G116" s="21">
        <v>0.96</v>
      </c>
      <c r="H116" s="22">
        <v>9.9999999999999994E-152</v>
      </c>
      <c r="I116" s="20">
        <v>54.37</v>
      </c>
      <c r="J116" s="20">
        <v>417</v>
      </c>
      <c r="K116" s="20" t="str">
        <f>HYPERLINK("https://www.ncbi.nlm.nih.gov/protein/WP_102216989.1?report=genbank&amp;log$=prottop&amp;blast_rank=378&amp;RID=AS43UG39016","WP_102216989.1")</f>
        <v>WP_102216989.1</v>
      </c>
      <c r="L116" s="20"/>
    </row>
    <row r="117" spans="1:12">
      <c r="A117" s="20" t="s">
        <v>595</v>
      </c>
      <c r="B117" s="20" t="str">
        <f>VLOOKUP(A117,'Table S6A'!A:C,2,FALSE)</f>
        <v> Bacillota</v>
      </c>
      <c r="C117" s="20" t="str">
        <f>VLOOKUP('Table S6B'!A117,'Table S6A'!A:C,3,FALSE)</f>
        <v>Clostridiaceae</v>
      </c>
      <c r="D117" s="20" t="str">
        <f>VLOOKUP(A117,'Table S6A'!A:E,4,FALSE)</f>
        <v>wastewater from a paper mill</v>
      </c>
      <c r="E117" s="20" t="str">
        <f>VLOOKUP(A117,'Table S6A'!A:E,5,FALSE)</f>
        <v>Engineered</v>
      </c>
      <c r="F117" s="20">
        <v>479</v>
      </c>
      <c r="G117" s="21">
        <v>0.96</v>
      </c>
      <c r="H117" s="22">
        <v>1.9999999999999999E-164</v>
      </c>
      <c r="I117" s="20">
        <v>57.14</v>
      </c>
      <c r="J117" s="20">
        <v>413</v>
      </c>
      <c r="K117" s="20" t="str">
        <f>HYPERLINK("https://www.ncbi.nlm.nih.gov/protein/WP_138207124.1?report=genbank&amp;log$=prottop&amp;blast_rank=286&amp;RID=AS43UG39016","WP_138207124.1")</f>
        <v>WP_138207124.1</v>
      </c>
      <c r="L117" s="20"/>
    </row>
    <row r="118" spans="1:12">
      <c r="A118" s="20" t="s">
        <v>597</v>
      </c>
      <c r="B118" s="20" t="str">
        <f>VLOOKUP(A118,'Table S6A'!A:C,2,FALSE)</f>
        <v> Bacillota</v>
      </c>
      <c r="C118" s="20" t="str">
        <f>VLOOKUP('Table S6B'!A118,'Table S6A'!A:C,3,FALSE)</f>
        <v>Clostridiaceae</v>
      </c>
      <c r="D118" s="20" t="str">
        <f>VLOOKUP(A118,'Table S6A'!A:E,4,FALSE)</f>
        <v>human feces</v>
      </c>
      <c r="E118" s="20" t="str">
        <f>VLOOKUP(A118,'Table S6A'!A:E,5,FALSE)</f>
        <v>Gastrointestinal tract</v>
      </c>
      <c r="F118" s="20">
        <v>471</v>
      </c>
      <c r="G118" s="21">
        <v>0.96</v>
      </c>
      <c r="H118" s="22">
        <v>2.0000000000000001E-161</v>
      </c>
      <c r="I118" s="20">
        <v>55.93</v>
      </c>
      <c r="J118" s="20">
        <v>413</v>
      </c>
      <c r="K118" s="20" t="str">
        <f>HYPERLINK("https://www.ncbi.nlm.nih.gov/protein/WP_102398823.1?report=genbank&amp;log$=prottop&amp;blast_rank=305&amp;RID=AS43UG39016","WP_102398823.1")</f>
        <v>WP_102398823.1</v>
      </c>
      <c r="L118" s="20"/>
    </row>
    <row r="119" spans="1:12">
      <c r="A119" s="20" t="s">
        <v>598</v>
      </c>
      <c r="B119" s="20" t="str">
        <f>VLOOKUP(A119,'Table S6A'!A:C,2,FALSE)</f>
        <v> Bacillota</v>
      </c>
      <c r="C119" s="20" t="str">
        <f>VLOOKUP('Table S6B'!A119,'Table S6A'!A:C,3,FALSE)</f>
        <v>Clostridiaceae</v>
      </c>
      <c r="D119" s="20" t="str">
        <f>VLOOKUP(A119,'Table S6A'!A:E,4,FALSE)</f>
        <v>human feces</v>
      </c>
      <c r="E119" s="20" t="str">
        <f>VLOOKUP(A119,'Table S6A'!A:E,5,FALSE)</f>
        <v>Gastrointestinal tract</v>
      </c>
      <c r="F119" s="20">
        <v>457</v>
      </c>
      <c r="G119" s="21">
        <v>0.96</v>
      </c>
      <c r="H119" s="22">
        <v>1E-155</v>
      </c>
      <c r="I119" s="20">
        <v>53.75</v>
      </c>
      <c r="J119" s="20">
        <v>413</v>
      </c>
      <c r="K119" s="20" t="str">
        <f>HYPERLINK("https://www.ncbi.nlm.nih.gov/protein/WP_142415349.1?report=genbank&amp;log$=prottop&amp;blast_rank=350&amp;RID=AS43UG39016","WP_142415349.1")</f>
        <v>WP_142415349.1</v>
      </c>
      <c r="L119" s="20"/>
    </row>
    <row r="120" spans="1:12">
      <c r="A120" s="20" t="s">
        <v>599</v>
      </c>
      <c r="B120" s="20" t="str">
        <f>VLOOKUP(A120,'Table S6A'!A:C,2,FALSE)</f>
        <v> Bacillota</v>
      </c>
      <c r="C120" s="20" t="str">
        <f>VLOOKUP('Table S6B'!A120,'Table S6A'!A:C,3,FALSE)</f>
        <v>Eubacteriales Family XIII. Incertae Sedis</v>
      </c>
      <c r="D120" s="20" t="str">
        <f>VLOOKUP(A120,'Table S6A'!A:E,4,FALSE)</f>
        <v>human feces</v>
      </c>
      <c r="E120" s="20" t="str">
        <f>VLOOKUP(A120,'Table S6A'!A:E,5,FALSE)</f>
        <v>Gastrointestinal tract</v>
      </c>
      <c r="F120" s="20">
        <v>444</v>
      </c>
      <c r="G120" s="21">
        <v>0.96</v>
      </c>
      <c r="H120" s="22">
        <v>9.0000000000000005E-151</v>
      </c>
      <c r="I120" s="20">
        <v>52.91</v>
      </c>
      <c r="J120" s="20">
        <v>410</v>
      </c>
      <c r="K120" s="20" t="str">
        <f>HYPERLINK("https://www.ncbi.nlm.nih.gov/protein/WP_269477071.1?report=genbank&amp;log$=prottop&amp;blast_rank=388&amp;RID=AS43UG39016","WP_269477071.1")</f>
        <v>WP_269477071.1</v>
      </c>
      <c r="L120" s="20"/>
    </row>
    <row r="121" spans="1:12">
      <c r="A121" s="20" t="s">
        <v>600</v>
      </c>
      <c r="B121" s="20" t="str">
        <f>VLOOKUP(A121,'Table S6A'!A:C,2,FALSE)</f>
        <v> Bacillota</v>
      </c>
      <c r="C121" s="20" t="str">
        <f>VLOOKUP('Table S6B'!A121,'Table S6A'!A:C,3,FALSE)</f>
        <v>Clostridiaceae</v>
      </c>
      <c r="D121" s="20" t="str">
        <f>VLOOKUP(A121,'Table S6A'!A:E,4,FALSE)</f>
        <v xml:space="preserve">probiotic industry effluent </v>
      </c>
      <c r="E121" s="20" t="str">
        <f>VLOOKUP(A121,'Table S6A'!A:E,5,FALSE)</f>
        <v>Engineered</v>
      </c>
      <c r="F121" s="20">
        <v>489</v>
      </c>
      <c r="G121" s="21">
        <v>0.96</v>
      </c>
      <c r="H121" s="22">
        <v>2.9999999999999999E-168</v>
      </c>
      <c r="I121" s="20">
        <v>57.56</v>
      </c>
      <c r="J121" s="20">
        <v>418</v>
      </c>
      <c r="K121" s="20" t="str">
        <f>HYPERLINK("https://www.ncbi.nlm.nih.gov/protein/WP_270814812.1?report=genbank&amp;log$=prottop&amp;blast_rank=258&amp;RID=AS43UG39016","WP_270814812.1")</f>
        <v>WP_270814812.1</v>
      </c>
      <c r="L121" s="20"/>
    </row>
    <row r="122" spans="1:12">
      <c r="A122" s="20" t="s">
        <v>602</v>
      </c>
      <c r="B122" s="20" t="str">
        <f>VLOOKUP(A122,'Table S6A'!A:C,2,FALSE)</f>
        <v> Bacillota</v>
      </c>
      <c r="C122" s="20" t="str">
        <f>VLOOKUP('Table S6B'!A122,'Table S6A'!A:C,3,FALSE)</f>
        <v>Clostridiaceae</v>
      </c>
      <c r="D122" s="20" t="str">
        <f>VLOOKUP(A122,'Table S6A'!A:E,4,FALSE)</f>
        <v>human feces</v>
      </c>
      <c r="E122" s="20" t="str">
        <f>VLOOKUP(A122,'Table S6A'!A:E,5,FALSE)</f>
        <v>Gastrointestinal tract</v>
      </c>
      <c r="F122" s="20">
        <v>493</v>
      </c>
      <c r="G122" s="21">
        <v>0.96</v>
      </c>
      <c r="H122" s="22">
        <v>3.0000000000000001E-170</v>
      </c>
      <c r="I122" s="20">
        <v>58.6</v>
      </c>
      <c r="J122" s="20">
        <v>413</v>
      </c>
      <c r="K122" s="20" t="str">
        <f>HYPERLINK("https://www.ncbi.nlm.nih.gov/protein/MBS5062432.1?report=genbank&amp;log$=prottop&amp;blast_rank=224&amp;RID=AS43UG39016","MBS5062432.1")</f>
        <v>MBS5062432.1</v>
      </c>
      <c r="L122" s="20"/>
    </row>
    <row r="123" spans="1:12">
      <c r="A123" s="20" t="s">
        <v>603</v>
      </c>
      <c r="B123" s="20" t="str">
        <f>VLOOKUP(A123,'Table S6A'!A:C,2,FALSE)</f>
        <v> Bacillota</v>
      </c>
      <c r="C123" s="20" t="str">
        <f>VLOOKUP('Table S6B'!A123,'Table S6A'!A:C,3,FALSE)</f>
        <v>Clostridiaceae</v>
      </c>
      <c r="D123" s="20" t="str">
        <f>VLOOKUP(A123,'Table S6A'!A:E,4,FALSE)</f>
        <v>human feces</v>
      </c>
      <c r="E123" s="20" t="str">
        <f>VLOOKUP(A123,'Table S6A'!A:E,5,FALSE)</f>
        <v>Gastrointestinal tract</v>
      </c>
      <c r="F123" s="20">
        <v>455</v>
      </c>
      <c r="G123" s="21">
        <v>0.96</v>
      </c>
      <c r="H123" s="22">
        <v>4.0000000000000001E-155</v>
      </c>
      <c r="I123" s="20">
        <v>54</v>
      </c>
      <c r="J123" s="20">
        <v>413</v>
      </c>
      <c r="K123" s="20" t="str">
        <f>HYPERLINK("https://www.ncbi.nlm.nih.gov/protein/WP_053956081.1?report=genbank&amp;log$=prottop&amp;blast_rank=354&amp;RID=AS43UG39016","WP_053956081.1")</f>
        <v>WP_053956081.1</v>
      </c>
      <c r="L123" s="20"/>
    </row>
    <row r="124" spans="1:12">
      <c r="A124" s="20" t="s">
        <v>604</v>
      </c>
      <c r="B124" s="20" t="str">
        <f>VLOOKUP(A124,'Table S6A'!A:C,2,FALSE)</f>
        <v> Bacillota</v>
      </c>
      <c r="C124" s="20" t="str">
        <f>VLOOKUP('Table S6B'!A124,'Table S6A'!A:C,3,FALSE)</f>
        <v>Tepidimicrobiaceae</v>
      </c>
      <c r="D124" s="20" t="str">
        <f>VLOOKUP(A124,'Table S6A'!A:E,4,FALSE)</f>
        <v>soil from grassy marshland</v>
      </c>
      <c r="E124" s="20" t="str">
        <f>VLOOKUP(A124,'Table S6A'!A:E,5,FALSE)</f>
        <v>Environmental</v>
      </c>
      <c r="F124" s="20">
        <v>459</v>
      </c>
      <c r="G124" s="21">
        <v>0.96</v>
      </c>
      <c r="H124" s="22">
        <v>7.0000000000000004E-157</v>
      </c>
      <c r="I124" s="20">
        <v>54.24</v>
      </c>
      <c r="J124" s="20">
        <v>412</v>
      </c>
      <c r="K124" s="20" t="str">
        <f>HYPERLINK("https://www.ncbi.nlm.nih.gov/protein/WP_132028732.1?report=genbank&amp;log$=prottop&amp;blast_rank=340&amp;RID=AS43UG39016","WP_132028732.1")</f>
        <v>WP_132028732.1</v>
      </c>
      <c r="L124" s="20"/>
    </row>
    <row r="125" spans="1:12">
      <c r="A125" s="20" t="s">
        <v>607</v>
      </c>
      <c r="B125" s="20" t="str">
        <f>VLOOKUP(A125,'Table S6A'!A:C,2,FALSE)</f>
        <v> Bacillota</v>
      </c>
      <c r="C125" s="20" t="str">
        <f>VLOOKUP('Table S6B'!A125,'Table S6A'!A:C,3,FALSE)</f>
        <v>Lachnospiraceae</v>
      </c>
      <c r="D125" s="20" t="str">
        <f>VLOOKUP(A125,'Table S6A'!A:E,4,FALSE)</f>
        <v>Gastrointestinal tract (GIT) microbiomes in ruminant</v>
      </c>
      <c r="E125" s="20" t="str">
        <f>VLOOKUP(A125,'Table S6A'!A:E,5,FALSE)</f>
        <v>Gastrointestinal tract</v>
      </c>
      <c r="F125" s="20">
        <v>489</v>
      </c>
      <c r="G125" s="21">
        <v>0.96</v>
      </c>
      <c r="H125" s="22">
        <v>1E-168</v>
      </c>
      <c r="I125" s="20">
        <v>58.11</v>
      </c>
      <c r="J125" s="20">
        <v>422</v>
      </c>
      <c r="K125" s="20" t="str">
        <f>HYPERLINK("https://www.ncbi.nlm.nih.gov/protein/MCI9590299.1?report=genbank&amp;log$=prottop&amp;blast_rank=254&amp;RID=AS43UG39016","MCI9590299.1")</f>
        <v>MCI9590299.1</v>
      </c>
      <c r="L125" s="20"/>
    </row>
    <row r="126" spans="1:12">
      <c r="A126" s="20" t="s">
        <v>609</v>
      </c>
      <c r="B126" s="20" t="str">
        <f>VLOOKUP(A126,'Table S6A'!A:C,2,FALSE)</f>
        <v>Actinomycetota</v>
      </c>
      <c r="C126" s="20" t="str">
        <f>VLOOKUP('Table S6B'!A126,'Table S6A'!A:C,3,FALSE)</f>
        <v xml:space="preserve">Atopobiaceae </v>
      </c>
      <c r="D126" s="20" t="str">
        <f>VLOOKUP(A126,'Table S6A'!A:E,4,FALSE)</f>
        <v>Human gingival crevices</v>
      </c>
      <c r="E126" s="20" t="str">
        <f>VLOOKUP(A126,'Table S6A'!A:E,5,FALSE)</f>
        <v>Gastrointestinal tract</v>
      </c>
      <c r="F126" s="20">
        <v>607</v>
      </c>
      <c r="G126" s="21">
        <v>0.97</v>
      </c>
      <c r="H126" s="20">
        <v>0</v>
      </c>
      <c r="I126" s="20">
        <v>70.91</v>
      </c>
      <c r="J126" s="20">
        <v>415</v>
      </c>
      <c r="K126" s="20" t="str">
        <f>HYPERLINK("https://www.ncbi.nlm.nih.gov/protein/WP_035431542.1?report=genbank&amp;log$=prottop&amp;blast_rank=128&amp;RID=AS43UG39016","WP_035431542.1")</f>
        <v>WP_035431542.1</v>
      </c>
      <c r="L126" s="20"/>
    </row>
    <row r="127" spans="1:12">
      <c r="A127" s="20" t="s">
        <v>611</v>
      </c>
      <c r="B127" s="20" t="str">
        <f>VLOOKUP(A127,'Table S6A'!A:C,2,FALSE)</f>
        <v>Actinomycetota</v>
      </c>
      <c r="C127" s="20" t="str">
        <f>VLOOKUP('Table S6B'!A127,'Table S6A'!A:C,3,FALSE)</f>
        <v xml:space="preserve">Atopobiaceae </v>
      </c>
      <c r="D127" s="20" t="str">
        <f>VLOOKUP(A127,'Table S6A'!A:E,4,FALSE)</f>
        <v>Human gingival crevices</v>
      </c>
      <c r="E127" s="20" t="str">
        <f>VLOOKUP(A127,'Table S6A'!A:E,5,FALSE)</f>
        <v>Gastrointestinal tract</v>
      </c>
      <c r="F127" s="20">
        <v>614</v>
      </c>
      <c r="G127" s="21">
        <v>0.97</v>
      </c>
      <c r="H127" s="20">
        <v>0</v>
      </c>
      <c r="I127" s="20">
        <v>71.08</v>
      </c>
      <c r="J127" s="20">
        <v>415</v>
      </c>
      <c r="K127" s="20" t="str">
        <f>HYPERLINK("https://www.ncbi.nlm.nih.gov/protein/MBF4807313.1?report=genbank&amp;log$=prottop&amp;blast_rank=118&amp;RID=AS43UG39016","MBF4807313.1")</f>
        <v>MBF4807313.1</v>
      </c>
      <c r="L127" s="20"/>
    </row>
    <row r="128" spans="1:12">
      <c r="A128" s="20" t="s">
        <v>612</v>
      </c>
      <c r="B128" s="20" t="str">
        <f>VLOOKUP(A128,'Table S6A'!A:C,2,FALSE)</f>
        <v>Actinomycetota</v>
      </c>
      <c r="C128" s="20" t="str">
        <f>VLOOKUP('Table S6B'!A128,'Table S6A'!A:C,3,FALSE)</f>
        <v xml:space="preserve">Atopobiaceae </v>
      </c>
      <c r="D128" s="20" t="str">
        <f>VLOOKUP(A128,'Table S6A'!A:E,4,FALSE)</f>
        <v>Nash patient</v>
      </c>
      <c r="E128" s="20" t="str">
        <f>VLOOKUP(A128,'Table S6A'!A:E,5,FALSE)</f>
        <v>patient</v>
      </c>
      <c r="F128" s="20">
        <v>613</v>
      </c>
      <c r="G128" s="21">
        <v>0.97</v>
      </c>
      <c r="H128" s="20">
        <v>0</v>
      </c>
      <c r="I128" s="20">
        <v>70.84</v>
      </c>
      <c r="J128" s="20">
        <v>415</v>
      </c>
      <c r="K128" s="20" t="str">
        <f>HYPERLINK("https://www.ncbi.nlm.nih.gov/protein/WP_282710340.1?report=genbank&amp;log$=prottop&amp;blast_rank=121&amp;RID=AS43UG39016","WP_282710340.1")</f>
        <v>WP_282710340.1</v>
      </c>
      <c r="L128" s="20"/>
    </row>
    <row r="129" spans="1:12">
      <c r="A129" s="20" t="s">
        <v>615</v>
      </c>
      <c r="B129" s="20" t="str">
        <f>VLOOKUP(A129,'Table S6A'!A:C,2,FALSE)</f>
        <v> Bacillota</v>
      </c>
      <c r="C129" s="20" t="str">
        <f>VLOOKUP('Table S6B'!A129,'Table S6A'!A:C,3,FALSE)</f>
        <v>Eubacteriales Family XIII. Incertae Sedis</v>
      </c>
      <c r="D129" s="20" t="str">
        <f>VLOOKUP(A129,'Table S6A'!A:E,4,FALSE)</f>
        <v>human feces</v>
      </c>
      <c r="E129" s="20" t="str">
        <f>VLOOKUP(A129,'Table S6A'!A:E,5,FALSE)</f>
        <v>Gastrointestinal tract</v>
      </c>
      <c r="F129" s="20">
        <v>511</v>
      </c>
      <c r="G129" s="21">
        <v>0.96</v>
      </c>
      <c r="H129" s="22">
        <v>1.9999999999999999E-177</v>
      </c>
      <c r="I129" s="20">
        <v>59.22</v>
      </c>
      <c r="J129" s="20">
        <v>412</v>
      </c>
      <c r="K129" s="20" t="str">
        <f>HYPERLINK("https://www.ncbi.nlm.nih.gov/protein/WP_177270906.1?report=genbank&amp;log$=prottop&amp;blast_rank=192&amp;RID=AS43UG39016","WP_177270906.1")</f>
        <v>WP_177270906.1</v>
      </c>
      <c r="L129" s="20"/>
    </row>
    <row r="130" spans="1:12">
      <c r="A130" s="20" t="s">
        <v>616</v>
      </c>
      <c r="B130" s="20" t="str">
        <f>VLOOKUP(A130,'Table S6A'!A:C,2,FALSE)</f>
        <v> Bacillota</v>
      </c>
      <c r="C130" s="20" t="str">
        <f>VLOOKUP('Table S6B'!A130,'Table S6A'!A:C,3,FALSE)</f>
        <v>Peptoniphilaceae</v>
      </c>
      <c r="D130" s="20" t="str">
        <f>VLOOKUP(A130,'Table S6A'!A:E,4,FALSE)</f>
        <v>biogas system</v>
      </c>
      <c r="E130" s="20" t="str">
        <f>VLOOKUP(A130,'Table S6A'!A:E,5,FALSE)</f>
        <v>Environmental</v>
      </c>
      <c r="F130" s="20">
        <v>458</v>
      </c>
      <c r="G130" s="21">
        <v>0.96</v>
      </c>
      <c r="H130" s="22">
        <v>5.0000000000000001E-156</v>
      </c>
      <c r="I130" s="20">
        <v>51.94</v>
      </c>
      <c r="J130" s="20">
        <v>419</v>
      </c>
      <c r="K130" s="20" t="str">
        <f>HYPERLINK("https://www.ncbi.nlm.nih.gov/protein/WP_243661081.1?report=genbank&amp;log$=prottop&amp;blast_rank=344&amp;RID=AS43UG39016","WP_243661081.1")</f>
        <v>WP_243661081.1</v>
      </c>
      <c r="L130" s="20"/>
    </row>
    <row r="131" spans="1:12">
      <c r="A131" s="20" t="s">
        <v>618</v>
      </c>
      <c r="B131" s="20" t="str">
        <f>VLOOKUP(A131,'Table S6A'!A:C,2,FALSE)</f>
        <v> Bacillota</v>
      </c>
      <c r="C131" s="20" t="str">
        <f>VLOOKUP('Table S6B'!A131,'Table S6A'!A:C,3,FALSE)</f>
        <v>Eubacteriales Family XIII. Incertae Sedis</v>
      </c>
      <c r="D131" s="20" t="str">
        <f>VLOOKUP(A131,'Table S6A'!A:E,4,FALSE)</f>
        <v>biogas system</v>
      </c>
      <c r="E131" s="20" t="str">
        <f>VLOOKUP(A131,'Table S6A'!A:E,5,FALSE)</f>
        <v>Environmental</v>
      </c>
      <c r="F131" s="20">
        <v>469</v>
      </c>
      <c r="G131" s="21">
        <v>0.95</v>
      </c>
      <c r="H131" s="22">
        <v>2E-160</v>
      </c>
      <c r="I131" s="20">
        <v>56.1</v>
      </c>
      <c r="J131" s="20">
        <v>424</v>
      </c>
      <c r="K131" s="20" t="str">
        <f>HYPERLINK("https://www.ncbi.nlm.nih.gov/protein/MBQ6150974.1?report=genbank&amp;log$=prottop&amp;blast_rank=309&amp;RID=AS43UG39016","MBQ6150974.1")</f>
        <v>MBQ6150974.1</v>
      </c>
      <c r="L131" s="20"/>
    </row>
    <row r="132" spans="1:12">
      <c r="A132" s="20" t="s">
        <v>619</v>
      </c>
      <c r="B132" s="20" t="str">
        <f>VLOOKUP(A132,'Table S6A'!A:C,2,FALSE)</f>
        <v> Bacillota</v>
      </c>
      <c r="C132" s="20" t="str">
        <f>VLOOKUP('Table S6B'!A132,'Table S6A'!A:C,3,FALSE)</f>
        <v>Clostridiaceae</v>
      </c>
      <c r="D132" s="20" t="str">
        <f>VLOOKUP(A132,'Table S6A'!A:E,4,FALSE)</f>
        <v>soda lake</v>
      </c>
      <c r="E132" s="20" t="str">
        <f>VLOOKUP(A132,'Table S6A'!A:E,5,FALSE)</f>
        <v>Environmental</v>
      </c>
      <c r="F132" s="20">
        <v>452</v>
      </c>
      <c r="G132" s="21">
        <v>0.97</v>
      </c>
      <c r="H132" s="22">
        <v>5.0000000000000002E-154</v>
      </c>
      <c r="I132" s="20">
        <v>53.83</v>
      </c>
      <c r="J132" s="20">
        <v>416</v>
      </c>
      <c r="K132" s="20" t="str">
        <f>HYPERLINK("https://www.ncbi.nlm.nih.gov/protein/WP_090552769.1?report=genbank&amp;log$=prottop&amp;blast_rank=366&amp;RID=AS43UG39016","WP_090552769.1")</f>
        <v>WP_090552769.1</v>
      </c>
      <c r="L132" s="20"/>
    </row>
    <row r="133" spans="1:12">
      <c r="A133" s="20" t="s">
        <v>621</v>
      </c>
      <c r="B133" s="20" t="str">
        <f>VLOOKUP(A133,'Table S6A'!A:C,2,FALSE)</f>
        <v> Bacillota</v>
      </c>
      <c r="C133" s="20" t="str">
        <f>VLOOKUP('Table S6B'!A133,'Table S6A'!A:C,3,FALSE)</f>
        <v>Lachnospiraceae</v>
      </c>
      <c r="D133" s="20" t="str">
        <f>VLOOKUP(A133,'Table S6A'!A:E,4,FALSE)</f>
        <v>infant feces</v>
      </c>
      <c r="E133" s="20" t="str">
        <f>VLOOKUP(A133,'Table S6A'!A:E,5,FALSE)</f>
        <v>Gastrointestinal tract</v>
      </c>
      <c r="F133" s="20">
        <v>488</v>
      </c>
      <c r="G133" s="21">
        <v>0.95</v>
      </c>
      <c r="H133" s="22">
        <v>8.0000000000000004E-168</v>
      </c>
      <c r="I133" s="20">
        <v>57.11</v>
      </c>
      <c r="J133" s="20">
        <v>413</v>
      </c>
      <c r="K133" s="20" t="str">
        <f>HYPERLINK("https://www.ncbi.nlm.nih.gov/protein/WP_053984525.1?report=genbank&amp;log$=prottop&amp;blast_rank=263&amp;RID=AS43UG39016","WP_053984525.1")</f>
        <v>WP_053984525.1</v>
      </c>
      <c r="L133" s="20"/>
    </row>
    <row r="134" spans="1:12">
      <c r="A134" s="20" t="s">
        <v>623</v>
      </c>
      <c r="B134" s="20" t="str">
        <f>VLOOKUP(A134,'Table S6A'!A:C,2,FALSE)</f>
        <v>Thermotogota</v>
      </c>
      <c r="C134" s="20" t="str">
        <f>VLOOKUP('Table S6B'!A134,'Table S6A'!A:C,3,FALSE)</f>
        <v>Petrotogaceae</v>
      </c>
      <c r="D134" s="20" t="str">
        <f>VLOOKUP(A134,'Table S6A'!A:E,4,FALSE)</f>
        <v>Oceanotoga</v>
      </c>
      <c r="E134" s="20" t="str">
        <f>VLOOKUP(A134,'Table S6A'!A:E,5,FALSE)</f>
        <v>Environmental</v>
      </c>
      <c r="F134" s="20">
        <v>438</v>
      </c>
      <c r="G134" s="21">
        <v>0.96</v>
      </c>
      <c r="H134" s="22">
        <v>1.9999999999999999E-148</v>
      </c>
      <c r="I134" s="20">
        <v>51.82</v>
      </c>
      <c r="J134" s="20">
        <v>413</v>
      </c>
      <c r="K134" s="20" t="str">
        <f>HYPERLINK("https://www.ncbi.nlm.nih.gov/protein/WP_109604123.1?report=genbank&amp;log$=prottop&amp;blast_rank=403&amp;RID=AS43UG39016","WP_109604123.1")</f>
        <v>WP_109604123.1</v>
      </c>
      <c r="L134" s="20"/>
    </row>
    <row r="135" spans="1:12">
      <c r="A135" s="20" t="s">
        <v>625</v>
      </c>
      <c r="B135" s="20" t="str">
        <f>VLOOKUP(A135,'Table S6A'!A:C,2,FALSE)</f>
        <v>Actinomycetota</v>
      </c>
      <c r="C135" s="20" t="str">
        <f>VLOOKUP('Table S6B'!A135,'Table S6A'!A:C,3,FALSE)</f>
        <v xml:space="preserve">Atopobiaceae </v>
      </c>
      <c r="D135" s="20" t="str">
        <f>VLOOKUP(A135,'Table S6A'!A:E,4,FALSE)</f>
        <v>bioreactor sludge</v>
      </c>
      <c r="E135" s="20" t="str">
        <f>VLOOKUP(A135,'Table S6A'!A:E,5,FALSE)</f>
        <v>Engineered</v>
      </c>
      <c r="F135" s="20">
        <v>564</v>
      </c>
      <c r="G135" s="21">
        <v>0.95</v>
      </c>
      <c r="H135" s="20">
        <v>0</v>
      </c>
      <c r="I135" s="20">
        <v>65.930000000000007</v>
      </c>
      <c r="J135" s="20">
        <v>415</v>
      </c>
      <c r="K135" s="20" t="str">
        <f>HYPERLINK("https://www.ncbi.nlm.nih.gov/protein/MCH3948683.1?report=genbank&amp;log$=prottop&amp;blast_rank=169&amp;RID=AS43UG39016","MCH3948683.1")</f>
        <v>MCH3948683.1</v>
      </c>
      <c r="L135" s="20"/>
    </row>
    <row r="136" spans="1:12">
      <c r="A136" s="20" t="s">
        <v>627</v>
      </c>
      <c r="B136" s="20" t="str">
        <f>VLOOKUP(A136,'Table S6A'!A:C,2,FALSE)</f>
        <v>Actinomycetota</v>
      </c>
      <c r="C136" s="20" t="str">
        <f>VLOOKUP('Table S6B'!A136,'Table S6A'!A:C,3,FALSE)</f>
        <v xml:space="preserve">Atopobiaceae </v>
      </c>
      <c r="D136" s="20" t="str">
        <f>VLOOKUP(A136,'Table S6A'!A:E,4,FALSE)</f>
        <v>human feces</v>
      </c>
      <c r="E136" s="20" t="str">
        <f>VLOOKUP(A136,'Table S6A'!A:E,5,FALSE)</f>
        <v>Gastrointestinal tract</v>
      </c>
      <c r="F136" s="20">
        <v>556</v>
      </c>
      <c r="G136" s="21">
        <v>0.95</v>
      </c>
      <c r="H136" s="20">
        <v>0</v>
      </c>
      <c r="I136" s="20">
        <v>65.2</v>
      </c>
      <c r="J136" s="20">
        <v>415</v>
      </c>
      <c r="K136" s="20" t="str">
        <f>HYPERLINK("https://www.ncbi.nlm.nih.gov/protein/WP_118110323.1?report=genbank&amp;log$=prottop&amp;blast_rank=178&amp;RID=AS43UG39016","WP_118110323.1")</f>
        <v>WP_118110323.1</v>
      </c>
      <c r="L136" s="20"/>
    </row>
    <row r="137" spans="1:12">
      <c r="A137" s="20" t="s">
        <v>628</v>
      </c>
      <c r="B137" s="20" t="str">
        <f>VLOOKUP(A137,'Table S6A'!A:C,2,FALSE)</f>
        <v>Actinomycetota</v>
      </c>
      <c r="C137" s="20" t="str">
        <f>VLOOKUP('Table S6B'!A137,'Table S6A'!A:C,3,FALSE)</f>
        <v xml:space="preserve">Atopobiaceae </v>
      </c>
      <c r="D137" s="20" t="str">
        <f>VLOOKUP(A137,'Table S6A'!A:E,4,FALSE)</f>
        <v>sputum sample in the hospital of Timone</v>
      </c>
      <c r="E137" s="20" t="str">
        <f>VLOOKUP(A137,'Table S6A'!A:E,5,FALSE)</f>
        <v>sputum</v>
      </c>
      <c r="F137" s="20">
        <v>562</v>
      </c>
      <c r="G137" s="21">
        <v>0.97</v>
      </c>
      <c r="H137" s="20">
        <v>0</v>
      </c>
      <c r="I137" s="20">
        <v>65.3</v>
      </c>
      <c r="J137" s="20">
        <v>415</v>
      </c>
      <c r="K137" s="20" t="str">
        <f>HYPERLINK("https://www.ncbi.nlm.nih.gov/protein/WP_130811256.1?report=genbank&amp;log$=prottop&amp;blast_rank=170&amp;RID=AS43UG39016","WP_130811256.1")</f>
        <v>WP_130811256.1</v>
      </c>
      <c r="L137" s="20"/>
    </row>
    <row r="138" spans="1:12">
      <c r="A138" s="20" t="s">
        <v>631</v>
      </c>
      <c r="B138" s="20" t="str">
        <f>VLOOKUP(A138,'Table S6A'!A:C,2,FALSE)</f>
        <v>Actinomycetota</v>
      </c>
      <c r="C138" s="20" t="str">
        <f>VLOOKUP('Table S6B'!A138,'Table S6A'!A:C,3,FALSE)</f>
        <v xml:space="preserve">Atopobiaceae </v>
      </c>
      <c r="D138" s="20" t="str">
        <f>VLOOKUP(A138,'Table S6A'!A:E,4,FALSE)</f>
        <v>human Oral</v>
      </c>
      <c r="E138" s="20" t="str">
        <f>VLOOKUP(A138,'Table S6A'!A:E,5,FALSE)</f>
        <v>Gastrointestinal tract</v>
      </c>
      <c r="F138" s="20">
        <v>573</v>
      </c>
      <c r="G138" s="21">
        <v>0.97</v>
      </c>
      <c r="H138" s="20">
        <v>0</v>
      </c>
      <c r="I138" s="20">
        <v>66.02</v>
      </c>
      <c r="J138" s="20">
        <v>415</v>
      </c>
      <c r="K138" s="20" t="str">
        <f>HYPERLINK("https://www.ncbi.nlm.nih.gov/protein/WP_050341619.1?report=genbank&amp;log$=prottop&amp;blast_rank=163&amp;RID=AS43UG39016","WP_050341619.1")</f>
        <v>WP_050341619.1</v>
      </c>
      <c r="L138" s="20"/>
    </row>
    <row r="139" spans="1:12">
      <c r="A139" s="20" t="s">
        <v>633</v>
      </c>
      <c r="B139" s="20" t="str">
        <f>VLOOKUP(A139,'Table S6A'!A:C,2,FALSE)</f>
        <v>Actinomycetota</v>
      </c>
      <c r="C139" s="20" t="str">
        <f>VLOOKUP('Table S6B'!A139,'Table S6A'!A:C,3,FALSE)</f>
        <v xml:space="preserve">Atopobiaceae </v>
      </c>
      <c r="D139" s="20" t="str">
        <f>VLOOKUP(A139,'Table S6A'!A:E,4,FALSE)</f>
        <v>human feces</v>
      </c>
      <c r="E139" s="20" t="str">
        <f>VLOOKUP(A139,'Table S6A'!A:E,5,FALSE)</f>
        <v>Gastrointestinal tract</v>
      </c>
      <c r="F139" s="20">
        <v>630</v>
      </c>
      <c r="G139" s="21">
        <v>0.96</v>
      </c>
      <c r="H139" s="20">
        <v>0</v>
      </c>
      <c r="I139" s="20">
        <v>73.41</v>
      </c>
      <c r="J139" s="20">
        <v>415</v>
      </c>
      <c r="K139" s="20" t="str">
        <f>HYPERLINK("https://www.ncbi.nlm.nih.gov/protein/WP_204831801.1?report=genbank&amp;log$=prottop&amp;blast_rank=114&amp;RID=AS43UG39016","WP_204831801.1")</f>
        <v>WP_204831801.1</v>
      </c>
      <c r="L139" s="20"/>
    </row>
    <row r="140" spans="1:12">
      <c r="A140" s="20" t="s">
        <v>634</v>
      </c>
      <c r="B140" s="20" t="str">
        <f>VLOOKUP(A140,'Table S6A'!A:C,2,FALSE)</f>
        <v>Actinomycetota</v>
      </c>
      <c r="C140" s="20" t="str">
        <f>VLOOKUP('Table S6B'!A140,'Table S6A'!A:C,3,FALSE)</f>
        <v xml:space="preserve">Atopobiaceae </v>
      </c>
      <c r="D140" s="20" t="str">
        <f>VLOOKUP(A140,'Table S6A'!A:E,4,FALSE)</f>
        <v>human Vagina</v>
      </c>
      <c r="E140" s="20" t="str">
        <f>VLOOKUP(A140,'Table S6A'!A:E,5,FALSE)</f>
        <v>Vagina</v>
      </c>
      <c r="F140" s="20">
        <v>588</v>
      </c>
      <c r="G140" s="21">
        <v>0.95</v>
      </c>
      <c r="H140" s="20">
        <v>0</v>
      </c>
      <c r="I140" s="20">
        <v>68.55</v>
      </c>
      <c r="J140" s="20">
        <v>425</v>
      </c>
      <c r="K140" s="20" t="str">
        <f>HYPERLINK("https://www.ncbi.nlm.nih.gov/protein/WP_077598673.1?report=genbank&amp;log$=prottop&amp;blast_rank=144&amp;RID=AS43UG39016","WP_077598673.1")</f>
        <v>WP_077598673.1</v>
      </c>
      <c r="L140" s="20"/>
    </row>
    <row r="141" spans="1:12">
      <c r="A141" s="20" t="s">
        <v>637</v>
      </c>
      <c r="B141" s="20" t="str">
        <f>VLOOKUP(A141,'Table S6A'!A:C,2,FALSE)</f>
        <v>Actinomycetota</v>
      </c>
      <c r="C141" s="20" t="str">
        <f>VLOOKUP('Table S6B'!A141,'Table S6A'!A:C,3,FALSE)</f>
        <v xml:space="preserve">Atopobiaceae </v>
      </c>
      <c r="D141" s="20" t="str">
        <f>VLOOKUP(A141,'Table S6A'!A:E,4,FALSE)</f>
        <v>Ruminants rumen</v>
      </c>
      <c r="E141" s="20" t="str">
        <f>VLOOKUP(A141,'Table S6A'!A:E,5,FALSE)</f>
        <v>Gastrointestinal tract</v>
      </c>
      <c r="F141" s="20">
        <v>549</v>
      </c>
      <c r="G141" s="21">
        <v>0.95</v>
      </c>
      <c r="H141" s="20">
        <v>0</v>
      </c>
      <c r="I141" s="20">
        <v>64.62</v>
      </c>
      <c r="J141" s="20">
        <v>415</v>
      </c>
      <c r="K141" s="20" t="str">
        <f>HYPERLINK("https://www.ncbi.nlm.nih.gov/protein/WP_170102989.1?report=genbank&amp;log$=prottop&amp;blast_rank=181&amp;RID=AS43UG39016","WP_170102989.1")</f>
        <v>WP_170102989.1</v>
      </c>
      <c r="L141" s="20"/>
    </row>
    <row r="142" spans="1:12">
      <c r="A142" s="20" t="s">
        <v>639</v>
      </c>
      <c r="B142" s="20" t="str">
        <f>VLOOKUP(A142,'Table S6A'!A:C,2,FALSE)</f>
        <v>Actinomycetota</v>
      </c>
      <c r="C142" s="20" t="str">
        <f>VLOOKUP('Table S6B'!A142,'Table S6A'!A:C,3,FALSE)</f>
        <v xml:space="preserve">Atopobiaceae </v>
      </c>
      <c r="D142" s="20" t="str">
        <f>VLOOKUP(A142,'Table S6A'!A:E,4,FALSE)</f>
        <v>human feces</v>
      </c>
      <c r="E142" s="20" t="str">
        <f>VLOOKUP(A142,'Table S6A'!A:E,5,FALSE)</f>
        <v>Gastrointestinal tract</v>
      </c>
      <c r="F142" s="20">
        <v>588</v>
      </c>
      <c r="G142" s="21">
        <v>0.95</v>
      </c>
      <c r="H142" s="20">
        <v>0</v>
      </c>
      <c r="I142" s="20">
        <v>70.02</v>
      </c>
      <c r="J142" s="20">
        <v>415</v>
      </c>
      <c r="K142" s="20" t="str">
        <f>HYPERLINK("https://www.ncbi.nlm.nih.gov/protein/WP_195449093.1?report=genbank&amp;log$=prottop&amp;blast_rank=141&amp;RID=AS43UG39016","WP_195449093.1")</f>
        <v>WP_195449093.1</v>
      </c>
      <c r="L142" s="20"/>
    </row>
    <row r="143" spans="1:12">
      <c r="A143" s="20" t="s">
        <v>640</v>
      </c>
      <c r="B143" s="20" t="str">
        <f>VLOOKUP(A143,'Table S6A'!A:C,2,FALSE)</f>
        <v>Actinomycetota</v>
      </c>
      <c r="C143" s="20" t="str">
        <f>VLOOKUP('Table S6B'!A143,'Table S6A'!A:C,3,FALSE)</f>
        <v xml:space="preserve">Atopobiaceae </v>
      </c>
      <c r="D143" s="20" t="str">
        <f>VLOOKUP(A143,'Table S6A'!A:E,4,FALSE)</f>
        <v>human feces</v>
      </c>
      <c r="E143" s="20" t="str">
        <f>VLOOKUP(A143,'Table S6A'!A:E,5,FALSE)</f>
        <v>Gastrointestinal tract</v>
      </c>
      <c r="F143" s="20">
        <v>590</v>
      </c>
      <c r="G143" s="21">
        <v>0.95</v>
      </c>
      <c r="H143" s="20">
        <v>0</v>
      </c>
      <c r="I143" s="20">
        <v>70.52</v>
      </c>
      <c r="J143" s="20">
        <v>415</v>
      </c>
      <c r="K143" s="20" t="str">
        <f>HYPERLINK("https://www.ncbi.nlm.nih.gov/protein/WP_073293576.1?report=genbank&amp;log$=prottop&amp;blast_rank=139&amp;RID=AS43UG39016","WP_073293576.1")</f>
        <v>WP_073293576.1</v>
      </c>
      <c r="L143" s="20"/>
    </row>
    <row r="144" spans="1:12">
      <c r="A144" s="20" t="s">
        <v>641</v>
      </c>
      <c r="B144" s="20" t="str">
        <f>VLOOKUP(A144,'Table S6A'!A:C,2,FALSE)</f>
        <v> Bacillota</v>
      </c>
      <c r="C144" s="20" t="str">
        <f>VLOOKUP('Table S6B'!A144,'Table S6A'!A:C,3,FALSE)</f>
        <v>Peptoniphilaceae</v>
      </c>
      <c r="D144" s="20" t="str">
        <f>VLOOKUP(A144,'Table S6A'!A:E,4,FALSE)</f>
        <v>human oral</v>
      </c>
      <c r="E144" s="20" t="str">
        <f>VLOOKUP(A144,'Table S6A'!A:E,5,FALSE)</f>
        <v>Gastrointestinal tract</v>
      </c>
      <c r="F144" s="20">
        <v>434</v>
      </c>
      <c r="G144" s="21">
        <v>0.95</v>
      </c>
      <c r="H144" s="22">
        <v>7.9999999999999998E-147</v>
      </c>
      <c r="I144" s="20">
        <v>52.55</v>
      </c>
      <c r="J144" s="20">
        <v>416</v>
      </c>
      <c r="K144" s="20" t="str">
        <f>HYPERLINK("https://www.ncbi.nlm.nih.gov/protein/MBS4872602.1?report=genbank&amp;log$=prottop&amp;blast_rank=409&amp;RID=AS43UG39016","MBS4872602.1")</f>
        <v>MBS4872602.1</v>
      </c>
      <c r="L144" s="20"/>
    </row>
    <row r="145" spans="1:12">
      <c r="A145" s="20" t="s">
        <v>642</v>
      </c>
      <c r="B145" s="20" t="str">
        <f>VLOOKUP(A145,'Table S6A'!A:C,2,FALSE)</f>
        <v> Bacillota</v>
      </c>
      <c r="C145" s="20" t="str">
        <f>VLOOKUP('Table S6B'!A145,'Table S6A'!A:C,3,FALSE)</f>
        <v>Peptoniphilaceae</v>
      </c>
      <c r="D145" s="20" t="str">
        <f>VLOOKUP(A145,'Table S6A'!A:E,4,FALSE)</f>
        <v>human oral</v>
      </c>
      <c r="E145" s="20" t="str">
        <f>VLOOKUP(A145,'Table S6A'!A:E,5,FALSE)</f>
        <v>Gastrointestinal tract</v>
      </c>
      <c r="F145" s="20">
        <v>432</v>
      </c>
      <c r="G145" s="21">
        <v>0.95</v>
      </c>
      <c r="H145" s="22">
        <v>8.0000000000000002E-146</v>
      </c>
      <c r="I145" s="20">
        <v>52.31</v>
      </c>
      <c r="J145" s="20">
        <v>416</v>
      </c>
      <c r="K145" s="20" t="str">
        <f>HYPERLINK("https://www.ncbi.nlm.nih.gov/protein/EGS30651.1?report=genbank&amp;log$=prottop&amp;blast_rank=411&amp;RID=AS43UG39016","EGS30651.1")</f>
        <v>EGS30651.1</v>
      </c>
      <c r="L145" s="20"/>
    </row>
    <row r="146" spans="1:12">
      <c r="A146" s="20" t="s">
        <v>643</v>
      </c>
      <c r="B146" s="20" t="str">
        <f>VLOOKUP(A146,'Table S6A'!A:C,2,FALSE)</f>
        <v> Bacillota</v>
      </c>
      <c r="C146" s="20" t="str">
        <f>VLOOKUP('Table S6B'!A146,'Table S6A'!A:C,3,FALSE)</f>
        <v> Acidaminococcaceae</v>
      </c>
      <c r="D146" s="20" t="str">
        <f>VLOOKUP(A146,'Table S6A'!A:E,4,FALSE)</f>
        <v>human feces</v>
      </c>
      <c r="E146" s="20" t="str">
        <f>VLOOKUP(A146,'Table S6A'!A:E,5,FALSE)</f>
        <v>Gastrointestinal tract</v>
      </c>
      <c r="F146" s="20">
        <v>477</v>
      </c>
      <c r="G146" s="21">
        <v>0.96</v>
      </c>
      <c r="H146" s="22">
        <v>9.9999999999999992E-164</v>
      </c>
      <c r="I146" s="20">
        <v>56.07</v>
      </c>
      <c r="J146" s="20">
        <v>413</v>
      </c>
      <c r="K146" s="20" t="str">
        <f>HYPERLINK("https://www.ncbi.nlm.nih.gov/protein/WP_256316837.1?report=genbank&amp;log$=prottop&amp;blast_rank=287&amp;RID=AS43UG39016","WP_256316837.1")</f>
        <v>WP_256316837.1</v>
      </c>
      <c r="L146" s="20"/>
    </row>
    <row r="147" spans="1:12">
      <c r="A147" s="20" t="s">
        <v>645</v>
      </c>
      <c r="B147" s="20" t="str">
        <f>VLOOKUP(A147,'Table S6A'!A:C,2,FALSE)</f>
        <v> Bacillota</v>
      </c>
      <c r="C147" s="20" t="str">
        <f>VLOOKUP('Table S6B'!A147,'Table S6A'!A:C,3,FALSE)</f>
        <v> Acidaminococcaceae</v>
      </c>
      <c r="D147" s="20" t="str">
        <f>VLOOKUP(A147,'Table S6A'!A:E,4,FALSE)</f>
        <v>wastewater</v>
      </c>
      <c r="E147" s="20" t="str">
        <f>VLOOKUP(A147,'Table S6A'!A:E,5,FALSE)</f>
        <v>Environmental</v>
      </c>
      <c r="F147" s="20">
        <v>475</v>
      </c>
      <c r="G147" s="21">
        <v>0.96</v>
      </c>
      <c r="H147" s="22">
        <v>7.9999999999999994E-163</v>
      </c>
      <c r="I147" s="20">
        <v>55.83</v>
      </c>
      <c r="J147" s="20">
        <v>413</v>
      </c>
      <c r="K147" s="20" t="str">
        <f>HYPERLINK("https://www.ncbi.nlm.nih.gov/protein/WP_287057671.1?report=genbank&amp;log$=prottop&amp;blast_rank=296&amp;RID=AS43UG39016","WP_287057671.1")</f>
        <v>WP_287057671.1</v>
      </c>
      <c r="L147" s="20"/>
    </row>
    <row r="148" spans="1:12">
      <c r="A148" s="20" t="s">
        <v>647</v>
      </c>
      <c r="B148" s="20" t="str">
        <f>VLOOKUP(A148,'Table S6A'!A:C,2,FALSE)</f>
        <v> Bacillota</v>
      </c>
      <c r="C148" s="20" t="str">
        <f>VLOOKUP('Table S6B'!A148,'Table S6A'!A:C,3,FALSE)</f>
        <v>Oscillospiraceae</v>
      </c>
      <c r="D148" s="20" t="str">
        <f>VLOOKUP(A148,'Table S6A'!A:E,4,FALSE)</f>
        <v>human feces</v>
      </c>
      <c r="E148" s="20" t="str">
        <f>VLOOKUP(A148,'Table S6A'!A:E,5,FALSE)</f>
        <v>Gastrointestinal tract</v>
      </c>
      <c r="F148" s="20">
        <v>491</v>
      </c>
      <c r="G148" s="21">
        <v>0.95</v>
      </c>
      <c r="H148" s="22">
        <v>4.0000000000000001E-169</v>
      </c>
      <c r="I148" s="20">
        <v>58.09</v>
      </c>
      <c r="J148" s="20">
        <v>413</v>
      </c>
      <c r="K148" s="20" t="str">
        <f>HYPERLINK("https://www.ncbi.nlm.nih.gov/protein/WP_227706453.1?report=genbank&amp;log$=prottop&amp;blast_rank=242&amp;RID=AS43UG39016","WP_227706453.1")</f>
        <v>WP_227706453.1</v>
      </c>
      <c r="L148" s="20"/>
    </row>
    <row r="149" spans="1:12">
      <c r="A149" s="20" t="s">
        <v>648</v>
      </c>
      <c r="B149" s="20" t="str">
        <f>VLOOKUP(A149,'Table S6A'!A:C,2,FALSE)</f>
        <v> Bacillota</v>
      </c>
      <c r="C149" s="20" t="str">
        <f>VLOOKUP('Table S6B'!A149,'Table S6A'!A:C,3,FALSE)</f>
        <v>Tissierellia incertae sedis</v>
      </c>
      <c r="D149" s="20" t="str">
        <f>VLOOKUP(A149,'Table S6A'!A:E,4,FALSE)</f>
        <v>eutrophic lake in China</v>
      </c>
      <c r="E149" s="20" t="str">
        <f>VLOOKUP(A149,'Table S6A'!A:E,5,FALSE)</f>
        <v>Environmental</v>
      </c>
      <c r="F149" s="20">
        <v>479</v>
      </c>
      <c r="G149" s="21">
        <v>0.96</v>
      </c>
      <c r="H149" s="22">
        <v>9.9999999999999996E-165</v>
      </c>
      <c r="I149" s="20">
        <v>56.31</v>
      </c>
      <c r="J149" s="20">
        <v>415</v>
      </c>
      <c r="K149" s="20" t="str">
        <f>HYPERLINK("https://www.ncbi.nlm.nih.gov/protein/WP_207236492.1?report=genbank&amp;log$=prottop&amp;blast_rank=284&amp;RID=AS43UG39016","WP_207236492.1")</f>
        <v>WP_207236492.1</v>
      </c>
      <c r="L149" s="20"/>
    </row>
    <row r="150" spans="1:12">
      <c r="A150" s="20" t="s">
        <v>651</v>
      </c>
      <c r="B150" s="20" t="str">
        <f>VLOOKUP(A150,'Table S6A'!A:C,2,FALSE)</f>
        <v> Bacillota</v>
      </c>
      <c r="C150" s="20" t="str">
        <f>VLOOKUP('Table S6B'!A150,'Table S6A'!A:C,3,FALSE)</f>
        <v>Tissierellaceae</v>
      </c>
      <c r="D150" s="20" t="str">
        <f>VLOOKUP(A150,'Table S6A'!A:E,4,FALSE)</f>
        <v>petroleum reservoir in Azerbaijan</v>
      </c>
      <c r="E150" s="20" t="str">
        <f>VLOOKUP(A150,'Table S6A'!A:E,5,FALSE)</f>
        <v>Environmental</v>
      </c>
      <c r="F150" s="20">
        <v>452</v>
      </c>
      <c r="G150" s="21">
        <v>0.96</v>
      </c>
      <c r="H150" s="22">
        <v>5.0000000000000002E-154</v>
      </c>
      <c r="I150" s="20">
        <v>53.75</v>
      </c>
      <c r="J150" s="20">
        <v>412</v>
      </c>
      <c r="K150" s="20" t="str">
        <f>HYPERLINK("https://www.ncbi.nlm.nih.gov/protein/WP_135270274.1?report=genbank&amp;log$=prottop&amp;blast_rank=367&amp;RID=AS43UG39016","WP_135270274.1")</f>
        <v>WP_135270274.1</v>
      </c>
      <c r="L150" s="20"/>
    </row>
    <row r="151" spans="1:12">
      <c r="A151" s="20" t="s">
        <v>654</v>
      </c>
      <c r="B151" s="20" t="str">
        <f>VLOOKUP(A151,'Table S6A'!A:C,2,FALSE)</f>
        <v> Bacillota</v>
      </c>
      <c r="C151" s="20" t="str">
        <f>VLOOKUP('Table S6B'!A151,'Table S6A'!A:C,3,FALSE)</f>
        <v>Tissierellaceae</v>
      </c>
      <c r="D151" s="20" t="str">
        <f>VLOOKUP(A151,'Table S6A'!A:E,4,FALSE)</f>
        <v>sludge from an anaerobic wastewater treatment plant</v>
      </c>
      <c r="E151" s="20" t="str">
        <f>VLOOKUP(A151,'Table S6A'!A:E,5,FALSE)</f>
        <v>Engineered</v>
      </c>
      <c r="F151" s="20">
        <v>449</v>
      </c>
      <c r="G151" s="21">
        <v>0.96</v>
      </c>
      <c r="H151" s="22">
        <v>2.0000000000000001E-152</v>
      </c>
      <c r="I151" s="20">
        <v>54.37</v>
      </c>
      <c r="J151" s="20">
        <v>412</v>
      </c>
      <c r="K151" s="20" t="str">
        <f>HYPERLINK("https://www.ncbi.nlm.nih.gov/protein/TJX66414.1?report=genbank&amp;log$=prottop&amp;blast_rank=374&amp;RID=AS43UG39016","TJX66414.1")</f>
        <v>TJX66414.1</v>
      </c>
      <c r="L151" s="20"/>
    </row>
    <row r="152" spans="1:12">
      <c r="A152" s="20" t="s">
        <v>656</v>
      </c>
      <c r="B152" s="20" t="str">
        <f>VLOOKUP(A152,'Table S6A'!A:C,2,FALSE)</f>
        <v> Bacillota</v>
      </c>
      <c r="C152" s="20" t="str">
        <f>VLOOKUP('Table S6B'!A152,'Table S6A'!A:C,3,FALSE)</f>
        <v>Sporanaerobacteraceae</v>
      </c>
      <c r="D152" s="20" t="str">
        <f>VLOOKUP(A152,'Table S6A'!A:E,4,FALSE)</f>
        <v>upflow anaerobic sludge blanket reactor</v>
      </c>
      <c r="E152" s="20" t="str">
        <f>VLOOKUP(A152,'Table S6A'!A:E,5,FALSE)</f>
        <v>Engineered</v>
      </c>
      <c r="F152" s="20">
        <v>467</v>
      </c>
      <c r="G152" s="21">
        <v>0.96</v>
      </c>
      <c r="H152" s="22">
        <v>9.9999999999999999E-160</v>
      </c>
      <c r="I152" s="20">
        <v>56.55</v>
      </c>
      <c r="J152" s="20">
        <v>412</v>
      </c>
      <c r="K152" s="20" t="str">
        <f>HYPERLINK("https://www.ncbi.nlm.nih.gov/protein/WP_072744948.1?report=genbank&amp;log$=prottop&amp;blast_rank=314&amp;RID=AS43UG39016","WP_072744948.1")</f>
        <v>WP_072744948.1</v>
      </c>
      <c r="L152" s="20"/>
    </row>
    <row r="153" spans="1:12">
      <c r="A153" s="20" t="s">
        <v>658</v>
      </c>
      <c r="B153" s="20" t="str">
        <f>VLOOKUP(A153,'Table S6A'!A:C,2,FALSE)</f>
        <v> Bacillota</v>
      </c>
      <c r="C153" s="20" t="str">
        <f>VLOOKUP('Table S6B'!A153,'Table S6A'!A:C,3,FALSE)</f>
        <v>Oscillospiraceae</v>
      </c>
      <c r="D153" s="20" t="str">
        <f>VLOOKUP(A153,'Table S6A'!A:E,4,FALSE)</f>
        <v>human feces</v>
      </c>
      <c r="E153" s="20" t="str">
        <f>VLOOKUP(A153,'Table S6A'!A:E,5,FALSE)</f>
        <v>Gastrointestinal tract</v>
      </c>
      <c r="F153" s="20">
        <v>485</v>
      </c>
      <c r="G153" s="21">
        <v>0.96</v>
      </c>
      <c r="H153" s="22">
        <v>5.0000000000000002E-167</v>
      </c>
      <c r="I153" s="20">
        <v>58.35</v>
      </c>
      <c r="J153" s="20">
        <v>413</v>
      </c>
      <c r="K153" s="20" t="str">
        <f>HYPERLINK("https://www.ncbi.nlm.nih.gov/protein/HJG28554.1?report=genbank&amp;log$=prottop&amp;blast_rank=271&amp;RID=AS43UG39016","HJG28554.1")</f>
        <v>HJG28554.1</v>
      </c>
      <c r="L153" s="20"/>
    </row>
    <row r="154" spans="1:12">
      <c r="A154" s="20" t="s">
        <v>659</v>
      </c>
      <c r="B154" s="20" t="str">
        <f>VLOOKUP(A154,'Table S6A'!A:C,2,FALSE)</f>
        <v> Bacillota</v>
      </c>
      <c r="C154" s="20" t="str">
        <f>VLOOKUP('Table S6B'!A154,'Table S6A'!A:C,3,FALSE)</f>
        <v>Thermoanaerobacterales Family III. Incertae Sedis</v>
      </c>
      <c r="D154" s="20" t="str">
        <f>VLOOKUP(A154,'Table S6A'!A:E,4,FALSE)</f>
        <v>anaerobic filter treating wastewater in a fishmeal factory</v>
      </c>
      <c r="E154" s="20" t="str">
        <f>VLOOKUP(A154,'Table S6A'!A:E,5,FALSE)</f>
        <v>Engineered</v>
      </c>
      <c r="F154" s="20">
        <v>446</v>
      </c>
      <c r="G154" s="21">
        <v>0.97</v>
      </c>
      <c r="H154" s="22">
        <v>1.9999999999999999E-151</v>
      </c>
      <c r="I154" s="20">
        <v>53.85</v>
      </c>
      <c r="J154" s="20">
        <v>416</v>
      </c>
      <c r="K154" s="20" t="str">
        <f>HYPERLINK("https://www.ncbi.nlm.nih.gov/protein/WP_044666327.1?report=genbank&amp;log$=prottop&amp;blast_rank=382&amp;RID=AS43UG39016","WP_044666327.1")</f>
        <v>WP_044666327.1</v>
      </c>
      <c r="L154" s="20"/>
    </row>
    <row r="155" spans="1:12">
      <c r="A155" s="20" t="s">
        <v>662</v>
      </c>
      <c r="B155" s="20" t="str">
        <f>VLOOKUP(A155,'Table S6A'!A:C,2,FALSE)</f>
        <v> Bacillota</v>
      </c>
      <c r="C155" s="20" t="str">
        <f>VLOOKUP('Table S6B'!A155,'Table S6A'!A:C,3,FALSE)</f>
        <v>Syntrophomonadaceae</v>
      </c>
      <c r="D155" s="20" t="str">
        <f>VLOOKUP(A155,'Table S6A'!A:E,4,FALSE)</f>
        <v>anaerobic digester</v>
      </c>
      <c r="E155" s="20" t="str">
        <f>VLOOKUP(A155,'Table S6A'!A:E,5,FALSE)</f>
        <v>Engineered</v>
      </c>
      <c r="F155" s="20">
        <v>457</v>
      </c>
      <c r="G155" s="21">
        <v>0.97</v>
      </c>
      <c r="H155" s="22">
        <v>6.0000000000000005E-156</v>
      </c>
      <c r="I155" s="20">
        <v>55.05</v>
      </c>
      <c r="J155" s="20">
        <v>417</v>
      </c>
      <c r="K155" s="20" t="str">
        <f>HYPERLINK("https://www.ncbi.nlm.nih.gov/protein/HHW30042.1?report=genbank&amp;log$=prottop&amp;blast_rank=345&amp;RID=AS43UG39016","HHW30042.1")</f>
        <v>HHW30042.1</v>
      </c>
      <c r="L155" s="20"/>
    </row>
    <row r="156" spans="1:12">
      <c r="A156" s="20" t="s">
        <v>665</v>
      </c>
      <c r="B156" s="20" t="str">
        <f>VLOOKUP(A156,'Table S6A'!A:C,2,FALSE)</f>
        <v> Bacillota</v>
      </c>
      <c r="C156" s="20" t="str">
        <f>VLOOKUP('Table S6B'!A156,'Table S6A'!A:C,3,FALSE)</f>
        <v>Syntrophomonadaceae</v>
      </c>
      <c r="D156" s="20" t="str">
        <f>VLOOKUP(A156,'Table S6A'!A:E,4,FALSE)</f>
        <v>fermentation</v>
      </c>
      <c r="E156" s="20" t="str">
        <f>VLOOKUP(A156,'Table S6A'!A:E,5,FALSE)</f>
        <v>Engineered</v>
      </c>
      <c r="F156" s="20">
        <v>458</v>
      </c>
      <c r="G156" s="21">
        <v>0.96</v>
      </c>
      <c r="H156" s="22">
        <v>3.0000000000000002E-156</v>
      </c>
      <c r="I156" s="20">
        <v>55.12</v>
      </c>
      <c r="J156" s="20">
        <v>415</v>
      </c>
      <c r="K156" s="20" t="str">
        <f>HYPERLINK("https://www.ncbi.nlm.nih.gov/protein/HBQ86650.1?report=genbank&amp;log$=prottop&amp;blast_rank=343&amp;RID=AS43UG39016","HBQ86650.1")</f>
        <v>HBQ86650.1</v>
      </c>
      <c r="L156" s="20"/>
    </row>
    <row r="157" spans="1:12">
      <c r="A157" s="20" t="s">
        <v>667</v>
      </c>
      <c r="B157" s="20" t="str">
        <f>VLOOKUP(A157,'Table S6A'!A:C,2,FALSE)</f>
        <v>Actinomycetota</v>
      </c>
      <c r="C157" s="20" t="str">
        <f>VLOOKUP('Table S6B'!A157,'Table S6A'!A:C,3,FALSE)</f>
        <v xml:space="preserve">Atopobiaceae </v>
      </c>
      <c r="D157" s="20" t="str">
        <f>VLOOKUP(A157,'Table S6A'!A:E,4,FALSE)</f>
        <v>mud in a fermentation cellar used for the production of Chinese Luzhou-flavour Baijiu</v>
      </c>
      <c r="E157" s="20" t="str">
        <f>VLOOKUP(A157,'Table S6A'!A:E,5,FALSE)</f>
        <v>Engineered</v>
      </c>
      <c r="F157" s="20">
        <v>608</v>
      </c>
      <c r="G157" s="21">
        <v>0.97</v>
      </c>
      <c r="H157" s="20">
        <v>0</v>
      </c>
      <c r="I157" s="20">
        <v>72.77</v>
      </c>
      <c r="J157" s="20">
        <v>416</v>
      </c>
      <c r="K157" s="20" t="str">
        <f>HYPERLINK("https://www.ncbi.nlm.nih.gov/protein/WP_194371057.1?report=genbank&amp;log$=prottop&amp;blast_rank=125&amp;RID=AS43UG39016","WP_194371057.1")</f>
        <v>WP_194371057.1</v>
      </c>
      <c r="L157" s="20"/>
    </row>
    <row r="158" spans="1:12">
      <c r="A158" s="20" t="s">
        <v>669</v>
      </c>
      <c r="B158" s="20" t="str">
        <f>VLOOKUP(A158,'Table S6A'!A:C,2,FALSE)</f>
        <v> Bacillota</v>
      </c>
      <c r="C158" s="20" t="str">
        <f>VLOOKUP('Table S6B'!A158,'Table S6A'!A:C,3,FALSE)</f>
        <v>Tissierellaceae</v>
      </c>
      <c r="D158" s="20" t="str">
        <f>VLOOKUP(A158,'Table S6A'!A:E,4,FALSE)</f>
        <v>human stump wound</v>
      </c>
      <c r="E158" s="20" t="str">
        <f>VLOOKUP(A158,'Table S6A'!A:E,5,FALSE)</f>
        <v>infection</v>
      </c>
      <c r="F158" s="20">
        <v>440</v>
      </c>
      <c r="G158" s="21">
        <v>0.96</v>
      </c>
      <c r="H158" s="22">
        <v>3.0000000000000002E-149</v>
      </c>
      <c r="I158" s="20">
        <v>52.54</v>
      </c>
      <c r="J158" s="20">
        <v>413</v>
      </c>
      <c r="K158" s="20" t="str">
        <f>HYPERLINK("https://www.ncbi.nlm.nih.gov/protein/MBU5313712.1?report=genbank&amp;log$=prottop&amp;blast_rank=397&amp;RID=AS43UG39016","MBU5313712.1")</f>
        <v>MBU5313712.1</v>
      </c>
      <c r="L158" s="20"/>
    </row>
    <row r="159" spans="1:12">
      <c r="A159" s="20" t="s">
        <v>671</v>
      </c>
      <c r="B159" s="20" t="str">
        <f>VLOOKUP(A159,'Table S6A'!A:C,2,FALSE)</f>
        <v> Bacillota</v>
      </c>
      <c r="C159" s="20" t="str">
        <f>VLOOKUP('Table S6B'!A159,'Table S6A'!A:C,3,FALSE)</f>
        <v>Tissierellaceae</v>
      </c>
      <c r="D159" s="20" t="str">
        <f>VLOOKUP(A159,'Table S6A'!A:E,4,FALSE)</f>
        <v>human stump wound</v>
      </c>
      <c r="E159" s="20" t="str">
        <f>VLOOKUP(A159,'Table S6A'!A:E,5,FALSE)</f>
        <v>infection</v>
      </c>
      <c r="F159" s="20">
        <v>442</v>
      </c>
      <c r="G159" s="21">
        <v>0.95</v>
      </c>
      <c r="H159" s="22">
        <v>8.0000000000000001E-150</v>
      </c>
      <c r="I159" s="20">
        <v>53.81</v>
      </c>
      <c r="J159" s="20">
        <v>412</v>
      </c>
      <c r="K159" s="20" t="str">
        <f>HYPERLINK("https://www.ncbi.nlm.nih.gov/protein/MSU01132.1?report=genbank&amp;log$=prottop&amp;blast_rank=393&amp;RID=AS43UG39016","MSU01132.1")</f>
        <v>MSU01132.1</v>
      </c>
      <c r="L159" s="20"/>
    </row>
    <row r="160" spans="1:12">
      <c r="A160" s="20" t="s">
        <v>672</v>
      </c>
      <c r="B160" s="20" t="str">
        <f>VLOOKUP(A160,'Table S6A'!A:C,2,FALSE)</f>
        <v> Bacillota</v>
      </c>
      <c r="C160" s="20" t="str">
        <f>VLOOKUP('Table S6B'!A160,'Table S6A'!A:C,3,FALSE)</f>
        <v>Tissierellaceae</v>
      </c>
      <c r="D160" s="20" t="str">
        <f>VLOOKUP(A160,'Table S6A'!A:E,4,FALSE)</f>
        <v>leg wound</v>
      </c>
      <c r="E160" s="20" t="str">
        <f>VLOOKUP(A160,'Table S6A'!A:E,5,FALSE)</f>
        <v>infection</v>
      </c>
      <c r="F160" s="20">
        <v>434</v>
      </c>
      <c r="G160" s="21">
        <v>0.95</v>
      </c>
      <c r="H160" s="22">
        <v>6.0000000000000004E-147</v>
      </c>
      <c r="I160" s="20">
        <v>53.2</v>
      </c>
      <c r="J160" s="20">
        <v>412</v>
      </c>
      <c r="K160" s="20" t="str">
        <f>HYPERLINK("https://www.ncbi.nlm.nih.gov/protein/WP_072973079.1?report=genbank&amp;log$=prottop&amp;blast_rank=408&amp;RID=AS43UG39016","WP_072973079.1")</f>
        <v>WP_072973079.1</v>
      </c>
      <c r="L160" s="20"/>
    </row>
    <row r="161" spans="1:12">
      <c r="A161" s="20" t="s">
        <v>674</v>
      </c>
      <c r="B161" s="20" t="str">
        <f>VLOOKUP(A161,'Table S6A'!A:C,2,FALSE)</f>
        <v> Bacillota</v>
      </c>
      <c r="C161" s="20" t="str">
        <f>VLOOKUP('Table S6B'!A161,'Table S6A'!A:C,3,FALSE)</f>
        <v>Tissierellaceae</v>
      </c>
      <c r="D161" s="20" t="str">
        <f>VLOOKUP(A161,'Table S6A'!A:E,4,FALSE)</f>
        <v>monkey feces</v>
      </c>
      <c r="E161" s="20" t="str">
        <f>VLOOKUP(A161,'Table S6A'!A:E,5,FALSE)</f>
        <v>Gastrointestinal tract</v>
      </c>
      <c r="F161" s="20">
        <v>468</v>
      </c>
      <c r="G161" s="21">
        <v>0.96</v>
      </c>
      <c r="H161" s="22">
        <v>3E-160</v>
      </c>
      <c r="I161" s="20">
        <v>56.55</v>
      </c>
      <c r="J161" s="20">
        <v>412</v>
      </c>
      <c r="K161" s="20" t="str">
        <f>HYPERLINK("https://www.ncbi.nlm.nih.gov/protein/WP_216520205.1?report=genbank&amp;log$=prottop&amp;blast_rank=310&amp;RID=AS43UG39016","WP_216520205.1")</f>
        <v>WP_216520205.1</v>
      </c>
      <c r="L161" s="20"/>
    </row>
    <row r="162" spans="1:12">
      <c r="A162" s="20" t="s">
        <v>675</v>
      </c>
      <c r="B162" s="20" t="str">
        <f>VLOOKUP(A162,'Table S6A'!A:C,2,FALSE)</f>
        <v> Bacillota</v>
      </c>
      <c r="C162" s="20" t="str">
        <f>VLOOKUP('Table S6B'!A162,'Table S6A'!A:C,3,FALSE)</f>
        <v>Tissierellaceae</v>
      </c>
      <c r="D162" s="20" t="str">
        <f>VLOOKUP(A162,'Table S6A'!A:E,4,FALSE)</f>
        <v>copper coins in circulation</v>
      </c>
      <c r="E162" s="20" t="str">
        <f>VLOOKUP(A162,'Table S6A'!A:E,5,FALSE)</f>
        <v>Environmental</v>
      </c>
      <c r="F162" s="20">
        <v>440</v>
      </c>
      <c r="G162" s="21">
        <v>0.96</v>
      </c>
      <c r="H162" s="22">
        <v>3.9999999999999999E-149</v>
      </c>
      <c r="I162" s="20">
        <v>52.54</v>
      </c>
      <c r="J162" s="20">
        <v>413</v>
      </c>
      <c r="K162" s="20" t="str">
        <f>HYPERLINK("https://www.ncbi.nlm.nih.gov/protein/WP_094903058.1?report=genbank&amp;log$=prottop&amp;blast_rank=398&amp;RID=AS43UG39016","WP_094903058.1")</f>
        <v>WP_094903058.1</v>
      </c>
      <c r="L162" s="20"/>
    </row>
    <row r="163" spans="1:12">
      <c r="A163" s="20" t="s">
        <v>677</v>
      </c>
      <c r="B163" s="20" t="str">
        <f>VLOOKUP(A163,'Table S6A'!A:C,2,FALSE)</f>
        <v> Bacillota</v>
      </c>
      <c r="C163" s="20" t="str">
        <f>VLOOKUP('Table S6B'!A163,'Table S6A'!A:C,3,FALSE)</f>
        <v>Tissierellaceae</v>
      </c>
      <c r="D163" s="20" t="str">
        <f>VLOOKUP(A163,'Table S6A'!A:E,4,FALSE)</f>
        <v>oil production facility</v>
      </c>
      <c r="E163" s="20" t="str">
        <f>VLOOKUP(A163,'Table S6A'!A:E,5,FALSE)</f>
        <v>Engineered</v>
      </c>
      <c r="F163" s="20">
        <v>444</v>
      </c>
      <c r="G163" s="21">
        <v>0.96</v>
      </c>
      <c r="H163" s="22">
        <v>1E-150</v>
      </c>
      <c r="I163" s="20">
        <v>53.64</v>
      </c>
      <c r="J163" s="20">
        <v>412</v>
      </c>
      <c r="K163" s="20" t="str">
        <f>HYPERLINK("https://www.ncbi.nlm.nih.gov/protein/MBC7088124.1?report=genbank&amp;log$=prottop&amp;blast_rank=389&amp;RID=AS43UG39016","MBC7088124.1")</f>
        <v>MBC7088124.1</v>
      </c>
      <c r="L163" s="20"/>
    </row>
    <row r="164" spans="1:12">
      <c r="A164" s="20" t="s">
        <v>679</v>
      </c>
      <c r="B164" s="20" t="str">
        <f>VLOOKUP(A164,'Table S6A'!A:C,2,FALSE)</f>
        <v> Bacillota</v>
      </c>
      <c r="C164" s="20" t="str">
        <f>VLOOKUP('Table S6B'!A164,'Table S6A'!A:C,3,FALSE)</f>
        <v>Tissierellaceae</v>
      </c>
      <c r="D164" s="20" t="str">
        <f>VLOOKUP(A164,'Table S6A'!A:E,4,FALSE)</f>
        <v>anaerobic digester</v>
      </c>
      <c r="E164" s="20" t="str">
        <f>VLOOKUP(A164,'Table S6A'!A:E,5,FALSE)</f>
        <v>Engineered</v>
      </c>
      <c r="F164" s="20">
        <v>436</v>
      </c>
      <c r="G164" s="21">
        <v>0.96</v>
      </c>
      <c r="H164" s="22">
        <v>1.9999999999999999E-147</v>
      </c>
      <c r="I164" s="20">
        <v>52.18</v>
      </c>
      <c r="J164" s="20">
        <v>412</v>
      </c>
      <c r="K164" s="20" t="str">
        <f>HYPERLINK("https://www.ncbi.nlm.nih.gov/protein/NMA85767.1?report=genbank&amp;log$=prottop&amp;blast_rank=406&amp;RID=AS43UG39016","NMA85767.1")</f>
        <v>NMA85767.1</v>
      </c>
      <c r="L164" s="20"/>
    </row>
    <row r="165" spans="1:12">
      <c r="A165" s="20" t="s">
        <v>680</v>
      </c>
      <c r="B165" s="20" t="str">
        <f>VLOOKUP(A165,'Table S6A'!A:C,2,FALSE)</f>
        <v> Bacillota</v>
      </c>
      <c r="C165" s="20" t="str">
        <f>VLOOKUP('Table S6B'!A165,'Table S6A'!A:C,3,FALSE)</f>
        <v>Tissierellaceae</v>
      </c>
      <c r="D165" s="20" t="str">
        <f>VLOOKUP(A165,'Table S6A'!A:E,4,FALSE)</f>
        <v>human with bacterial vaginosis</v>
      </c>
      <c r="E165" s="20" t="str">
        <f>VLOOKUP(A165,'Table S6A'!A:E,5,FALSE)</f>
        <v>infection</v>
      </c>
      <c r="F165" s="20">
        <v>441</v>
      </c>
      <c r="G165" s="21">
        <v>0.96</v>
      </c>
      <c r="H165" s="22">
        <v>2E-149</v>
      </c>
      <c r="I165" s="20">
        <v>53.03</v>
      </c>
      <c r="J165" s="20">
        <v>416</v>
      </c>
      <c r="K165" s="20" t="str">
        <f>HYPERLINK("https://www.ncbi.nlm.nih.gov/protein/KGF08563.1?report=genbank&amp;log$=prottop&amp;blast_rank=395&amp;RID=AS43UG39016","KGF08563.1")</f>
        <v>KGF08563.1</v>
      </c>
      <c r="L165" s="20"/>
    </row>
    <row r="166" spans="1:12">
      <c r="A166" s="20" t="s">
        <v>682</v>
      </c>
      <c r="B166" s="20" t="str">
        <f>VLOOKUP(A166,'Table S6A'!A:C,2,FALSE)</f>
        <v> Bacillota</v>
      </c>
      <c r="C166" s="20" t="str">
        <f>VLOOKUP('Table S6B'!A166,'Table S6A'!A:C,3,FALSE)</f>
        <v>Clostridiaceae</v>
      </c>
      <c r="D166" s="20" t="str">
        <f>VLOOKUP(A166,'Table S6A'!A:E,4,FALSE)</f>
        <v>human feces</v>
      </c>
      <c r="E166" s="20" t="str">
        <f>VLOOKUP(A166,'Table S6A'!A:E,5,FALSE)</f>
        <v>Gastrointestinal tract</v>
      </c>
      <c r="F166" s="20">
        <v>487</v>
      </c>
      <c r="G166" s="21">
        <v>0.95</v>
      </c>
      <c r="H166" s="22">
        <v>1E-167</v>
      </c>
      <c r="I166" s="20">
        <v>58.58</v>
      </c>
      <c r="J166" s="20">
        <v>415</v>
      </c>
      <c r="K166" s="20" t="str">
        <f>HYPERLINK("https://www.ncbi.nlm.nih.gov/protein/WP_138309064.1?report=genbank&amp;log$=prottop&amp;blast_rank=265&amp;RID=AS43UG39016","WP_138309064.1")</f>
        <v>WP_138309064.1</v>
      </c>
      <c r="L166" s="20"/>
    </row>
    <row r="167" spans="1:12">
      <c r="A167" s="20" t="s">
        <v>683</v>
      </c>
      <c r="B167" s="20" t="str">
        <f>VLOOKUP(A167,'Table S6A'!A:C,2,FALSE)</f>
        <v>Actinomycetota</v>
      </c>
      <c r="C167" s="20" t="str">
        <f>VLOOKUP('Table S6B'!A167,'Table S6A'!A:C,3,FALSE)</f>
        <v>Coriobacteriaceae</v>
      </c>
      <c r="D167" s="20" t="str">
        <f>VLOOKUP(A167,'Table S6A'!A:E,4,FALSE)</f>
        <v>human feces</v>
      </c>
      <c r="E167" s="20" t="str">
        <f>VLOOKUP(A167,'Table S6A'!A:E,5,FALSE)</f>
        <v>Gastrointestinal tract</v>
      </c>
      <c r="F167" s="20">
        <v>884</v>
      </c>
      <c r="G167" s="21">
        <v>1</v>
      </c>
      <c r="H167" s="20">
        <v>0</v>
      </c>
      <c r="I167" s="20">
        <v>99.76</v>
      </c>
      <c r="J167" s="20">
        <v>425</v>
      </c>
      <c r="K167" s="20" t="str">
        <f>HYPERLINK("https://www.ncbi.nlm.nih.gov/protein/WP_161161549.1?report=genbank&amp;log$=prottop&amp;blast_rank=1&amp;RID=AS43UG39016","WP_161161549.1")</f>
        <v>WP_161161549.1</v>
      </c>
      <c r="L167" s="20"/>
    </row>
    <row r="168" spans="1:12" ht="14.45" customHeight="1">
      <c r="A168" s="20" t="s">
        <v>684</v>
      </c>
      <c r="B168" s="20" t="str">
        <f>VLOOKUP(A168,'Table S6A'!A:C,2,FALSE)</f>
        <v> Bacillota</v>
      </c>
      <c r="C168" s="20" t="s">
        <v>701</v>
      </c>
      <c r="D168" s="20" t="str">
        <f>VLOOKUP(A168,'Table S6A'!A:E,4,FALSE)</f>
        <v>chicken gut anaerobes</v>
      </c>
      <c r="E168" s="20" t="str">
        <f>VLOOKUP(A168,'Table S6A'!A:E,5,FALSE)</f>
        <v>Gastrointestinal tract</v>
      </c>
      <c r="F168" s="20">
        <v>491</v>
      </c>
      <c r="G168" s="21">
        <v>0.96</v>
      </c>
      <c r="H168" s="22">
        <v>5.0000000000000002E-169</v>
      </c>
      <c r="I168" s="20">
        <v>58.45</v>
      </c>
      <c r="J168" s="20">
        <v>413</v>
      </c>
      <c r="K168" s="20" t="str">
        <f>HYPERLINK("https://www.ncbi.nlm.nih.gov/protein/WP_087183512.1?report=genbank&amp;log$=prottop&amp;blast_rank=245&amp;RID=AS43UG39016","WP_087183512.1")</f>
        <v>WP_087183512.1</v>
      </c>
      <c r="L168" s="20"/>
    </row>
    <row r="169" spans="1:12" ht="14.45" customHeight="1">
      <c r="A169" s="20" t="s">
        <v>686</v>
      </c>
      <c r="B169" s="20" t="str">
        <f>VLOOKUP(A169,'Table S6A'!A:C,2,FALSE)</f>
        <v>Actinomycetota</v>
      </c>
      <c r="C169" s="20" t="str">
        <f>VLOOKUP('Table S6B'!A169,'Table S6A'!A:C,3,FALSE)</f>
        <v xml:space="preserve">Atopobiaceae </v>
      </c>
      <c r="D169" s="20" t="str">
        <f>VLOOKUP(A169,'Table S6A'!A:E,4,FALSE)</f>
        <v>bioreactor sludge</v>
      </c>
      <c r="E169" s="20" t="str">
        <f>VLOOKUP(A169,'Table S6A'!A:E,5,FALSE)</f>
        <v>Engineered</v>
      </c>
      <c r="F169" s="20">
        <v>705</v>
      </c>
      <c r="G169" s="21">
        <v>0.99</v>
      </c>
      <c r="H169" s="20">
        <v>0</v>
      </c>
      <c r="I169" s="20">
        <v>79.39</v>
      </c>
      <c r="J169" s="20">
        <v>429</v>
      </c>
      <c r="K169" s="20" t="str">
        <f>HYPERLINK("https://www.ncbi.nlm.nih.gov/protein/WP_283713798.1?report=genbank&amp;log$=prottop&amp;blast_rank=112&amp;RID=AS43UG39016","WP_283713798.1")</f>
        <v>WP_283713798.1</v>
      </c>
      <c r="L169" s="20"/>
    </row>
    <row r="170" spans="1:12" ht="14.45" customHeight="1">
      <c r="A170" s="20" t="s">
        <v>687</v>
      </c>
      <c r="B170" s="20" t="str">
        <f>VLOOKUP(A170,'Table S6A'!A:C,2,FALSE)</f>
        <v>Actinomycetota</v>
      </c>
      <c r="C170" s="20" t="str">
        <f>VLOOKUP('Table S6B'!A170,'Table S6A'!A:C,3,FALSE)</f>
        <v>Actinomycetaceae</v>
      </c>
      <c r="D170" s="20" t="str">
        <f>VLOOKUP(A170,'Table S6A'!A:E,4,FALSE)</f>
        <v>unknown</v>
      </c>
      <c r="E170" s="20"/>
      <c r="F170" s="20">
        <v>454</v>
      </c>
      <c r="G170" s="21">
        <v>0.96</v>
      </c>
      <c r="H170" s="22">
        <v>8.0000000000000001E-155</v>
      </c>
      <c r="I170" s="20">
        <v>54.83</v>
      </c>
      <c r="J170" s="20">
        <v>412</v>
      </c>
      <c r="K170" s="20" t="str">
        <f>HYPERLINK("https://www.ncbi.nlm.nih.gov/protein/WP_048706812.1?report=genbank&amp;log$=prottop&amp;blast_rank=358&amp;RID=AS43UG39016","WP_048706812.1")</f>
        <v>WP_048706812.1</v>
      </c>
      <c r="L170" s="20"/>
    </row>
    <row r="171" spans="1:12" ht="14.45" customHeight="1">
      <c r="A171" s="20" t="s">
        <v>688</v>
      </c>
      <c r="B171" s="20" t="str">
        <f>VLOOKUP(A171,'Table S6A'!A:C,2,FALSE)</f>
        <v> Bacillota</v>
      </c>
      <c r="C171" s="20" t="str">
        <f>VLOOKUP('Table S6B'!A171,'Table S6A'!A:C,3,FALSE)</f>
        <v>Lachnospiraceae</v>
      </c>
      <c r="D171" s="20" t="str">
        <f>VLOOKUP(A171,'Table S6A'!A:E,4,FALSE)</f>
        <v>human feces</v>
      </c>
      <c r="E171" s="20" t="str">
        <f>VLOOKUP(A171,'Table S6A'!A:E,5,FALSE)</f>
        <v>Gastrointestinal tract</v>
      </c>
      <c r="F171" s="20">
        <v>494</v>
      </c>
      <c r="G171" s="21">
        <v>0.96</v>
      </c>
      <c r="H171" s="22">
        <v>2E-170</v>
      </c>
      <c r="I171" s="20">
        <v>57.04</v>
      </c>
      <c r="J171" s="20">
        <v>416</v>
      </c>
      <c r="K171" s="20" t="str">
        <f>HYPERLINK("https://www.ncbi.nlm.nih.gov/protein/WP_289071536.1?report=genbank&amp;log$=prottop&amp;blast_rank=223&amp;RID=AS43UG39016","WP_289071536.1")</f>
        <v>WP_289071536.1</v>
      </c>
      <c r="L171" s="20"/>
    </row>
    <row r="172" spans="1:12">
      <c r="A172" s="20" t="s">
        <v>689</v>
      </c>
      <c r="B172" s="20" t="str">
        <f>VLOOKUP(A172,'Table S6A'!A:C,2,FALSE)</f>
        <v> Bacillota</v>
      </c>
      <c r="C172" s="20" t="str">
        <f>VLOOKUP('Table S6B'!A172,'Table S6A'!A:C,3,FALSE)</f>
        <v>Clostridiaceae</v>
      </c>
      <c r="D172" s="20" t="str">
        <f>VLOOKUP(A172,'Table S6A'!A:E,4,FALSE)</f>
        <v>human feces</v>
      </c>
      <c r="E172" s="20" t="str">
        <f>VLOOKUP(A172,'Table S6A'!A:E,5,FALSE)</f>
        <v>Gastrointestinal tract</v>
      </c>
      <c r="F172" s="20">
        <v>495</v>
      </c>
      <c r="G172" s="21">
        <v>0.96</v>
      </c>
      <c r="H172" s="22">
        <v>7.9999999999999999E-171</v>
      </c>
      <c r="I172" s="20">
        <v>58.25</v>
      </c>
      <c r="J172" s="20">
        <v>413</v>
      </c>
      <c r="K172" s="20" t="str">
        <f>HYPERLINK("https://www.ncbi.nlm.nih.gov/protein/WP_288215497.1?report=genbank&amp;log$=prottop&amp;blast_rank=220&amp;RID=AS43UG39016","WP_288215497.1")</f>
        <v>WP_288215497.1</v>
      </c>
      <c r="L172" s="20"/>
    </row>
    <row r="173" spans="1:12">
      <c r="A173" s="20" t="s">
        <v>690</v>
      </c>
      <c r="B173" s="20" t="str">
        <f>VLOOKUP(A173,'Table S6A'!A:C,2,FALSE)</f>
        <v>Actinomycetota</v>
      </c>
      <c r="C173" s="20" t="str">
        <f>VLOOKUP('Table S6B'!A173,'Table S6A'!A:C,3,FALSE)</f>
        <v xml:space="preserve">Atopobiaceae </v>
      </c>
      <c r="D173" s="20" t="str">
        <f>VLOOKUP(A173,'Table S6A'!A:E,4,FALSE)</f>
        <v>human feces</v>
      </c>
      <c r="E173" s="20" t="str">
        <f>VLOOKUP(A173,'Table S6A'!A:E,5,FALSE)</f>
        <v>Gastrointestinal tract</v>
      </c>
      <c r="F173" s="20">
        <v>590</v>
      </c>
      <c r="G173" s="21">
        <v>0.95</v>
      </c>
      <c r="H173" s="20">
        <v>0</v>
      </c>
      <c r="I173" s="20">
        <v>70.27</v>
      </c>
      <c r="J173" s="20">
        <v>415</v>
      </c>
      <c r="K173" s="20" t="str">
        <f>HYPERLINK("https://www.ncbi.nlm.nih.gov/protein/WP_288712825.1?report=genbank&amp;log$=prottop&amp;blast_rank=140&amp;RID=AS43UG39016","WP_288712825.1")</f>
        <v>WP_288712825.1</v>
      </c>
      <c r="L173" s="20"/>
    </row>
    <row r="174" spans="1:12">
      <c r="A174" s="20" t="s">
        <v>691</v>
      </c>
      <c r="B174" s="20" t="str">
        <f>VLOOKUP(A174,'Table S6A'!A:C,2,FALSE)</f>
        <v> Bacillota</v>
      </c>
      <c r="C174" s="20" t="str">
        <f>VLOOKUP('Table S6B'!A174,'Table S6A'!A:C,3,FALSE)</f>
        <v> Acidaminococcaceae</v>
      </c>
      <c r="D174" s="20" t="str">
        <f>VLOOKUP(A174,'Table S6A'!A:E,4,FALSE)</f>
        <v>human feces</v>
      </c>
      <c r="E174" s="20" t="str">
        <f>VLOOKUP(A174,'Table S6A'!A:E,5,FALSE)</f>
        <v>Gastrointestinal tract</v>
      </c>
      <c r="F174" s="20">
        <v>474</v>
      </c>
      <c r="G174" s="21">
        <v>0.96</v>
      </c>
      <c r="H174" s="22">
        <v>1.9999999999999999E-162</v>
      </c>
      <c r="I174" s="20">
        <v>55.34</v>
      </c>
      <c r="J174" s="20">
        <v>413</v>
      </c>
      <c r="K174" s="20" t="str">
        <f>HYPERLINK("https://www.ncbi.nlm.nih.gov/protein/WP_288548416.1?report=genbank&amp;log$=prottop&amp;blast_rank=299&amp;RID=AS43UG39016","WP_288548416.1")</f>
        <v>WP_288548416.1</v>
      </c>
      <c r="L174" s="20"/>
    </row>
    <row r="175" spans="1:12">
      <c r="A175" s="20" t="s">
        <v>692</v>
      </c>
      <c r="B175" s="20" t="str">
        <f>VLOOKUP(A175,'Table S6A'!A:C,2,FALSE)</f>
        <v> Bacillota</v>
      </c>
      <c r="C175" s="20" t="str">
        <f>VLOOKUP('Table S6B'!A175,'Table S6A'!A:C,3,FALSE)</f>
        <v>Peptoniphilaceae</v>
      </c>
      <c r="D175" s="20" t="str">
        <f>VLOOKUP(A175,'Table S6A'!A:E,4,FALSE)</f>
        <v>urine specimen</v>
      </c>
      <c r="E175" s="20" t="str">
        <f>VLOOKUP(A175,'Table S6A'!A:E,5,FALSE)</f>
        <v>urine</v>
      </c>
      <c r="F175" s="20">
        <v>442</v>
      </c>
      <c r="G175" s="21">
        <v>0.96</v>
      </c>
      <c r="H175" s="22">
        <v>4.9999999999999999E-150</v>
      </c>
      <c r="I175" s="20">
        <v>53.27</v>
      </c>
      <c r="J175" s="20">
        <v>416</v>
      </c>
      <c r="K175" s="20" t="str">
        <f>HYPERLINK("https://www.ncbi.nlm.nih.gov/protein/WP_072469397.1?report=genbank&amp;log$=prottop&amp;blast_rank=392&amp;RID=AS43UG39016","WP_072469397.1")</f>
        <v>WP_072469397.1</v>
      </c>
      <c r="L175" s="20"/>
    </row>
    <row r="176" spans="1:12">
      <c r="A176" s="20" t="s">
        <v>695</v>
      </c>
      <c r="B176" s="20" t="str">
        <f>VLOOKUP(A176,'Table S6A'!A:C,2,FALSE)</f>
        <v> Bacillota</v>
      </c>
      <c r="C176" s="20" t="str">
        <f>VLOOKUP('Table S6B'!A176,'Table S6A'!A:C,3,FALSE)</f>
        <v>Peptoniphilaceae</v>
      </c>
      <c r="D176" s="20" t="str">
        <f>VLOOKUP(A176,'Table S6A'!A:E,4,FALSE)</f>
        <v>human feces</v>
      </c>
      <c r="E176" s="20" t="str">
        <f>VLOOKUP(A176,'Table S6A'!A:E,5,FALSE)</f>
        <v>Gastrointestinal tract</v>
      </c>
      <c r="F176" s="20">
        <v>434</v>
      </c>
      <c r="G176" s="21">
        <v>0.95</v>
      </c>
      <c r="H176" s="22">
        <v>1E-146</v>
      </c>
      <c r="I176" s="20">
        <v>52.55</v>
      </c>
      <c r="J176" s="20">
        <v>416</v>
      </c>
      <c r="K176" s="20" t="str">
        <f>HYPERLINK("https://www.ncbi.nlm.nih.gov/protein/WP_099208952.1?report=genbank&amp;log$=prottop&amp;blast_rank=410&amp;RID=AS43UG39016","WP_099208952.1")</f>
        <v>WP_099208952.1</v>
      </c>
      <c r="L176" s="20"/>
    </row>
    <row r="177" spans="1:12">
      <c r="A177" s="20" t="s">
        <v>696</v>
      </c>
      <c r="B177" s="20" t="str">
        <f>VLOOKUP(A177,'Table S6A'!A:C,2,FALSE)</f>
        <v> Bacillota</v>
      </c>
      <c r="C177" s="20" t="str">
        <f>VLOOKUP('Table S6B'!A177,'Table S6A'!A:C,3,FALSE)</f>
        <v>Enterococcaceae</v>
      </c>
      <c r="D177" s="20" t="str">
        <f>VLOOKUP(A177,'Table S6A'!A:E,4,FALSE)</f>
        <v>soil beneath a decomposing pig carcass</v>
      </c>
      <c r="E177" s="20" t="str">
        <f>VLOOKUP(A177,'Table S6A'!A:E,5,FALSE)</f>
        <v>infection</v>
      </c>
      <c r="F177" s="20">
        <v>481</v>
      </c>
      <c r="G177" s="21">
        <v>0.96</v>
      </c>
      <c r="H177" s="22">
        <v>2E-165</v>
      </c>
      <c r="I177" s="20">
        <v>56.45</v>
      </c>
      <c r="J177" s="20">
        <v>412</v>
      </c>
      <c r="K177" s="20" t="str">
        <f>HYPERLINK("https://www.ncbi.nlm.nih.gov/protein/WP_125943698.1?report=genbank&amp;log$=prottop&amp;blast_rank=283&amp;RID=AS43UG39016","WP_125943698.1")</f>
        <v>WP_125943698.1</v>
      </c>
      <c r="L177" s="20"/>
    </row>
    <row r="178" spans="1:12">
      <c r="A178" s="20" t="s">
        <v>698</v>
      </c>
      <c r="B178" s="20" t="str">
        <f>VLOOKUP(A178,'Table S6A'!A:C,2,FALSE)</f>
        <v> Bacillota</v>
      </c>
      <c r="C178" s="20" t="str">
        <f>VLOOKUP('Table S6B'!A178,'Table S6A'!A:C,3,FALSE)</f>
        <v>Lachnospiraceae</v>
      </c>
      <c r="D178" s="20" t="str">
        <f>VLOOKUP(A178,'Table S6A'!A:E,4,FALSE)</f>
        <v>human feces</v>
      </c>
      <c r="E178" s="20" t="str">
        <f>VLOOKUP(A178,'Table S6A'!A:E,5,FALSE)</f>
        <v>Gastrointestinal tract</v>
      </c>
      <c r="F178" s="20">
        <v>420</v>
      </c>
      <c r="G178" s="21">
        <v>0.96</v>
      </c>
      <c r="H178" s="22">
        <v>2.9999999999999998E-141</v>
      </c>
      <c r="I178" s="20">
        <v>52.54</v>
      </c>
      <c r="J178" s="20">
        <v>413</v>
      </c>
      <c r="K178" s="20" t="str">
        <f>HYPERLINK("https://www.ncbi.nlm.nih.gov/protein/MBC8589847.1?report=genbank&amp;log$=prottop&amp;blast_rank=420&amp;RID=AS43UG39016","MBC8589847.1")</f>
        <v>MBC8589847.1</v>
      </c>
      <c r="L178" s="20"/>
    </row>
    <row r="179" spans="1:12">
      <c r="A179" s="20" t="s">
        <v>699</v>
      </c>
      <c r="B179" s="20" t="str">
        <f>VLOOKUP(A179,'Table S6A'!A:C,2,FALSE)</f>
        <v>Actinomycetota</v>
      </c>
      <c r="C179" s="20" t="str">
        <f>VLOOKUP('Table S6B'!A179,'Table S6A'!A:C,3,FALSE)</f>
        <v>Actinomycetaceae</v>
      </c>
      <c r="D179" s="20" t="str">
        <f>VLOOKUP(A179,'Table S6A'!A:E,4,FALSE)</f>
        <v>unknown</v>
      </c>
      <c r="E179" s="20"/>
      <c r="F179" s="20">
        <v>460</v>
      </c>
      <c r="G179" s="21">
        <v>0.96</v>
      </c>
      <c r="H179" s="22">
        <v>6E-157</v>
      </c>
      <c r="I179" s="20">
        <v>54.26</v>
      </c>
      <c r="J179" s="20">
        <v>413</v>
      </c>
      <c r="K179" s="20" t="str">
        <f>HYPERLINK("https://www.ncbi.nlm.nih.gov/protein/WP_024331292.1?report=genbank&amp;log$=prottop&amp;blast_rank=339&amp;RID=AS43UG39016","WP_024331292.1")</f>
        <v>WP_024331292.1</v>
      </c>
      <c r="L179" s="20"/>
    </row>
    <row r="180" spans="1:12">
      <c r="A180" s="20" t="s">
        <v>700</v>
      </c>
      <c r="B180" s="20" t="str">
        <f>VLOOKUP(A180,'Table S6A'!A:C,2,FALSE)</f>
        <v> Bacillota</v>
      </c>
      <c r="C180" s="20" t="str">
        <f>VLOOKUP('Table S6B'!A180,'Table S6A'!A:C,3,FALSE)</f>
        <v>Eubacteriales Family XIII. Incertae Sedis</v>
      </c>
      <c r="D180" s="20" t="str">
        <f>VLOOKUP(A180,'Table S6A'!A:E,4,FALSE)</f>
        <v>human feces</v>
      </c>
      <c r="E180" s="20" t="str">
        <f>VLOOKUP(A180,'Table S6A'!A:E,5,FALSE)</f>
        <v>Gastrointestinal tract</v>
      </c>
      <c r="F180" s="20">
        <v>445</v>
      </c>
      <c r="G180" s="21">
        <v>0.96</v>
      </c>
      <c r="H180" s="22">
        <v>3.9999999999999998E-151</v>
      </c>
      <c r="I180" s="20">
        <v>53.64</v>
      </c>
      <c r="J180" s="20">
        <v>411</v>
      </c>
      <c r="K180" s="20" t="str">
        <f>HYPERLINK("https://www.ncbi.nlm.nih.gov/protein/WP_187302384.1?report=genbank&amp;log$=prottop&amp;blast_rank=383&amp;RID=AS43UG39016","WP_187302384.1")</f>
        <v>WP_187302384.1</v>
      </c>
      <c r="L180" s="20"/>
    </row>
  </sheetData>
  <autoFilter ref="A2:K180" xr:uid="{00000000-0009-0000-0000-000006000000}">
    <sortState xmlns:xlrd2="http://schemas.microsoft.com/office/spreadsheetml/2017/richdata2" ref="A2:K180">
      <sortCondition ref="A2:A180"/>
    </sortState>
  </autoFilter>
  <phoneticPr fontId="26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6"/>
  <sheetViews>
    <sheetView workbookViewId="0">
      <selection activeCell="A8" sqref="A8"/>
    </sheetView>
  </sheetViews>
  <sheetFormatPr defaultColWidth="8.625" defaultRowHeight="16.5"/>
  <cols>
    <col min="1" max="1" width="38" style="24" customWidth="1"/>
    <col min="2" max="5" width="29.125" style="24" customWidth="1"/>
    <col min="6" max="7" width="8.625" style="24"/>
    <col min="8" max="8" width="11.5" style="24" customWidth="1"/>
    <col min="9" max="16384" width="8.625" style="24"/>
  </cols>
  <sheetData>
    <row r="1" spans="1:12">
      <c r="A1" s="119" t="s">
        <v>736</v>
      </c>
    </row>
    <row r="2" spans="1:12" s="17" customFormat="1">
      <c r="A2" s="25" t="s">
        <v>384</v>
      </c>
      <c r="B2" s="26" t="s">
        <v>385</v>
      </c>
      <c r="C2" s="26" t="s">
        <v>386</v>
      </c>
      <c r="D2" s="26" t="s">
        <v>387</v>
      </c>
      <c r="E2" s="26" t="s">
        <v>388</v>
      </c>
      <c r="F2" s="25" t="s">
        <v>389</v>
      </c>
      <c r="G2" s="25" t="s">
        <v>390</v>
      </c>
      <c r="H2" s="25" t="s">
        <v>391</v>
      </c>
      <c r="I2" s="25" t="s">
        <v>392</v>
      </c>
      <c r="J2" s="25" t="s">
        <v>393</v>
      </c>
      <c r="K2" s="25" t="s">
        <v>394</v>
      </c>
      <c r="L2" s="25"/>
    </row>
    <row r="3" spans="1:12">
      <c r="A3" s="20" t="s">
        <v>395</v>
      </c>
      <c r="B3" s="20" t="str">
        <f>VLOOKUP(A3,'Table S6A'!A:C,2,FALSE)</f>
        <v> Bacillota</v>
      </c>
      <c r="C3" s="20" t="str">
        <f>VLOOKUP(A3,'Table S6A'!A:C,3,FALSE)</f>
        <v>Clostridiaceae</v>
      </c>
      <c r="D3" s="20" t="str">
        <f>VLOOKUP(A3,'Table S6B'!A:E,4,FALSE)</f>
        <v>human feces</v>
      </c>
      <c r="E3" s="20" t="str">
        <f>VLOOKUP(A3,'Table S6B'!A:E,5,FALSE)</f>
        <v>Gastrointestinal tract</v>
      </c>
      <c r="F3" s="20">
        <v>639</v>
      </c>
      <c r="G3" s="21">
        <v>0.98</v>
      </c>
      <c r="H3" s="20">
        <v>0</v>
      </c>
      <c r="I3" s="20">
        <v>76.03</v>
      </c>
      <c r="J3" s="20">
        <v>420</v>
      </c>
      <c r="K3" s="20" t="str">
        <f>HYPERLINK("https://www.ncbi.nlm.nih.gov/protein/WP_042274519.1?report=genbank&amp;log$=prottop&amp;blast_rank=70&amp;RID=AS4RWFEC013","WP_042274519.1")</f>
        <v>WP_042274519.1</v>
      </c>
      <c r="L3" s="20"/>
    </row>
    <row r="4" spans="1:12">
      <c r="A4" s="20" t="s">
        <v>400</v>
      </c>
      <c r="B4" s="20" t="str">
        <f>VLOOKUP(A4,'Table S6A'!A:C,2,FALSE)</f>
        <v> Bacillota</v>
      </c>
      <c r="C4" s="20" t="str">
        <f>VLOOKUP(A4,'Table S6A'!A:C,3,FALSE)</f>
        <v>Sporomusaceae</v>
      </c>
      <c r="D4" s="20" t="str">
        <f>VLOOKUP(A4,'Table S6B'!A:E,4,FALSE)</f>
        <v>gut contents of the wood-feeding termite Pterotermes occidentis</v>
      </c>
      <c r="E4" s="20" t="str">
        <f>VLOOKUP(A4,'Table S6B'!A:E,5,FALSE)</f>
        <v>Gastrointestinal tract</v>
      </c>
      <c r="F4" s="20">
        <v>609</v>
      </c>
      <c r="G4" s="21">
        <v>0.99</v>
      </c>
      <c r="H4" s="20">
        <v>0</v>
      </c>
      <c r="I4" s="20">
        <v>70.290000000000006</v>
      </c>
      <c r="J4" s="20">
        <v>413</v>
      </c>
      <c r="K4" s="20" t="str">
        <f>HYPERLINK("https://www.ncbi.nlm.nih.gov/protein/WP_004092743.1?report=genbank&amp;log$=prottop&amp;blast_rank=84&amp;RID=AS4RWFEC013","WP_004092743.1")</f>
        <v>WP_004092743.1</v>
      </c>
      <c r="L4" s="20"/>
    </row>
    <row r="5" spans="1:12">
      <c r="A5" s="20" t="s">
        <v>403</v>
      </c>
      <c r="B5" s="20" t="str">
        <f>VLOOKUP(A5,'Table S6A'!A:C,2,FALSE)</f>
        <v> Bacillota</v>
      </c>
      <c r="C5" s="20" t="str">
        <f>VLOOKUP(A5,'Table S6A'!A:C,3,FALSE)</f>
        <v>Acidaminococcaceae</v>
      </c>
      <c r="D5" s="20" t="str">
        <f>VLOOKUP(A5,'Table S6B'!A:E,4,FALSE)</f>
        <v>human feces</v>
      </c>
      <c r="E5" s="20" t="str">
        <f>VLOOKUP(A5,'Table S6B'!A:E,5,FALSE)</f>
        <v>Gastrointestinal tract</v>
      </c>
      <c r="F5" s="20">
        <v>601</v>
      </c>
      <c r="G5" s="21">
        <v>0.82</v>
      </c>
      <c r="H5" s="20">
        <v>0</v>
      </c>
      <c r="I5" s="20">
        <v>82.51</v>
      </c>
      <c r="J5" s="20">
        <v>346</v>
      </c>
      <c r="K5" s="20" t="str">
        <f>HYPERLINK("https://www.ncbi.nlm.nih.gov/protein/MDD3396865.1?report=genbank&amp;log$=prottop&amp;blast_rank=97&amp;RID=AS4RWFEC013","MDD3396865.1")</f>
        <v>MDD3396865.1</v>
      </c>
      <c r="L5" s="20"/>
    </row>
    <row r="6" spans="1:12">
      <c r="A6" s="20" t="s">
        <v>405</v>
      </c>
      <c r="B6" s="20" t="str">
        <f>VLOOKUP(A6,'Table S6A'!A:C,2,FALSE)</f>
        <v> Bacillota</v>
      </c>
      <c r="C6" s="20" t="str">
        <f>VLOOKUP(A6,'Table S6A'!A:C,3,FALSE)</f>
        <v>Eubacteriales Family XIII. Incertae Sedis</v>
      </c>
      <c r="D6" s="20" t="str">
        <f>VLOOKUP(A6,'Table S6B'!A:E,4,FALSE)</f>
        <v>the pit mud of strong aromatic Chinese liquor</v>
      </c>
      <c r="E6" s="20" t="str">
        <f>VLOOKUP(A6,'Table S6B'!A:E,5,FALSE)</f>
        <v>Engineered</v>
      </c>
      <c r="F6" s="20">
        <v>659</v>
      </c>
      <c r="G6" s="21">
        <v>0.98</v>
      </c>
      <c r="H6" s="20">
        <v>0</v>
      </c>
      <c r="I6" s="20">
        <v>73.8</v>
      </c>
      <c r="J6" s="20">
        <v>418</v>
      </c>
      <c r="K6" s="20" t="str">
        <f>HYPERLINK("https://www.ncbi.nlm.nih.gov/protein/WP_128746836.1?report=genbank&amp;log$=prottop&amp;blast_rank=66&amp;RID=AS4RWFEC013","WP_128746836.1")</f>
        <v>WP_128746836.1</v>
      </c>
      <c r="L6" s="20"/>
    </row>
    <row r="7" spans="1:12">
      <c r="A7" s="20" t="s">
        <v>409</v>
      </c>
      <c r="B7" s="20" t="str">
        <f>VLOOKUP(A7,'Table S6A'!A:C,2,FALSE)</f>
        <v> Bacillota</v>
      </c>
      <c r="C7" s="20" t="str">
        <f>VLOOKUP(A7,'Table S6A'!A:C,3,FALSE)</f>
        <v>Clostridiaceae</v>
      </c>
      <c r="D7" s="20" t="str">
        <f>VLOOKUP(A7,'Table S6B'!A:E,4,FALSE)</f>
        <v xml:space="preserve">salt lake sediment in Xinjiang Province, China </v>
      </c>
      <c r="E7" s="20" t="str">
        <f>VLOOKUP(A7,'Table S6B'!A:E,5,FALSE)</f>
        <v>Environmental</v>
      </c>
      <c r="F7" s="20">
        <v>600</v>
      </c>
      <c r="G7" s="21">
        <v>0.99</v>
      </c>
      <c r="H7" s="20">
        <v>0</v>
      </c>
      <c r="I7" s="20">
        <v>68.12</v>
      </c>
      <c r="J7" s="20">
        <v>413</v>
      </c>
      <c r="K7" s="20" t="str">
        <f>HYPERLINK("https://www.ncbi.nlm.nih.gov/protein/WP_129595683.1?report=genbank&amp;log$=prottop&amp;blast_rank=100&amp;RID=AS4RWFEC013","WP_129595683.1")</f>
        <v>WP_129595683.1</v>
      </c>
      <c r="L7" s="20"/>
    </row>
    <row r="8" spans="1:12">
      <c r="A8" s="20" t="s">
        <v>412</v>
      </c>
      <c r="B8" s="20" t="str">
        <f>VLOOKUP(A8,'Table S6A'!A:C,2,FALSE)</f>
        <v> Bacillota</v>
      </c>
      <c r="C8" s="20" t="str">
        <f>VLOOKUP(A8,'Table S6A'!A:C,3,FALSE)</f>
        <v>Erysipelotrichaceae</v>
      </c>
      <c r="D8" s="20" t="str">
        <f>VLOOKUP(A8,'Table S6B'!A:E,4,FALSE)</f>
        <v xml:space="preserve">mud snails </v>
      </c>
      <c r="E8" s="20" t="str">
        <f>VLOOKUP(A8,'Table S6B'!A:E,5,FALSE)</f>
        <v>Environmental</v>
      </c>
      <c r="F8" s="20">
        <v>676</v>
      </c>
      <c r="G8" s="21">
        <v>0.98</v>
      </c>
      <c r="H8" s="20">
        <v>0</v>
      </c>
      <c r="I8" s="20">
        <v>78.88</v>
      </c>
      <c r="J8" s="20">
        <v>413</v>
      </c>
      <c r="K8" s="20" t="str">
        <f>HYPERLINK("https://www.ncbi.nlm.nih.gov/protein/WP_078712103.1?report=genbank&amp;log$=prottop&amp;blast_rank=55&amp;RID=AS4RWFEC013","WP_078712103.1")</f>
        <v>WP_078712103.1</v>
      </c>
      <c r="L8" s="20"/>
    </row>
    <row r="9" spans="1:12">
      <c r="A9" s="20" t="s">
        <v>702</v>
      </c>
      <c r="B9" s="20" t="s">
        <v>396</v>
      </c>
      <c r="C9" s="20" t="s">
        <v>416</v>
      </c>
      <c r="D9" s="20" t="s">
        <v>703</v>
      </c>
      <c r="E9" s="20" t="s">
        <v>408</v>
      </c>
      <c r="F9" s="20">
        <v>516</v>
      </c>
      <c r="G9" s="21">
        <v>0.98</v>
      </c>
      <c r="H9" s="22">
        <v>4.0000000000000001E-179</v>
      </c>
      <c r="I9" s="20">
        <v>60.77</v>
      </c>
      <c r="J9" s="20">
        <v>412</v>
      </c>
      <c r="K9" s="20" t="str">
        <f>HYPERLINK("https://www.ncbi.nlm.nih.gov/protein/WP_216384560.1?report=genbank&amp;log$=prottop&amp;blast_rank=215&amp;RID=AS4RWFEC013","WP_216384560.1")</f>
        <v>WP_216384560.1</v>
      </c>
      <c r="L9" s="20"/>
    </row>
    <row r="10" spans="1:12">
      <c r="A10" s="20" t="s">
        <v>704</v>
      </c>
      <c r="B10" s="20" t="s">
        <v>396</v>
      </c>
      <c r="C10" s="20" t="s">
        <v>416</v>
      </c>
      <c r="D10" s="20" t="s">
        <v>398</v>
      </c>
      <c r="E10" s="20" t="s">
        <v>399</v>
      </c>
      <c r="F10" s="20">
        <v>488</v>
      </c>
      <c r="G10" s="21">
        <v>0.98</v>
      </c>
      <c r="H10" s="22">
        <v>2.0000000000000001E-168</v>
      </c>
      <c r="I10" s="20">
        <v>56.9</v>
      </c>
      <c r="J10" s="20">
        <v>412</v>
      </c>
      <c r="K10" s="20" t="str">
        <f>HYPERLINK("https://www.ncbi.nlm.nih.gov/protein/WP_042681303.1?report=genbank&amp;log$=prottop&amp;blast_rank=376&amp;RID=AS4RWFEC013","WP_042681303.1")</f>
        <v>WP_042681303.1</v>
      </c>
      <c r="L10" s="20"/>
    </row>
    <row r="11" spans="1:12">
      <c r="A11" s="20" t="s">
        <v>415</v>
      </c>
      <c r="B11" s="20" t="str">
        <f>VLOOKUP(A11,'Table S6A'!A:C,2,FALSE)</f>
        <v> Bacillota</v>
      </c>
      <c r="C11" s="20" t="str">
        <f>VLOOKUP(A11,'Table S6A'!A:C,3,FALSE)</f>
        <v>Sporanaerobacteraceae</v>
      </c>
      <c r="D11" s="20" t="str">
        <f>VLOOKUP(A11,'Table S6B'!A:E,4,FALSE)</f>
        <v>human feces</v>
      </c>
      <c r="E11" s="20" t="str">
        <f>VLOOKUP(A11,'Table S6B'!A:E,5,FALSE)</f>
        <v>Gastrointestinal tract</v>
      </c>
      <c r="F11" s="20">
        <v>597</v>
      </c>
      <c r="G11" s="21">
        <v>0.97</v>
      </c>
      <c r="H11" s="20">
        <v>0</v>
      </c>
      <c r="I11" s="20">
        <v>69.680000000000007</v>
      </c>
      <c r="J11" s="20">
        <v>413</v>
      </c>
      <c r="K11" s="20" t="str">
        <f>HYPERLINK("https://www.ncbi.nlm.nih.gov/protein/WP_077367917.1?report=genbank&amp;log$=prottop&amp;blast_rank=103&amp;RID=AS4RWFEC013","WP_077367917.1")</f>
        <v>WP_077367917.1</v>
      </c>
      <c r="L11" s="20"/>
    </row>
    <row r="12" spans="1:12">
      <c r="A12" s="20" t="s">
        <v>417</v>
      </c>
      <c r="B12" s="20" t="str">
        <f>VLOOKUP(A12,'Table S6A'!A:C,2,FALSE)</f>
        <v> Bacillota</v>
      </c>
      <c r="C12" s="20" t="str">
        <f>VLOOKUP(A12,'Table S6A'!A:C,3,FALSE)</f>
        <v>Eubacteriales Family XIII. Incertae Sedis</v>
      </c>
      <c r="D12" s="20" t="str">
        <f>VLOOKUP(A12,'Table S6B'!A:E,4,FALSE)</f>
        <v>brackish water sediment</v>
      </c>
      <c r="E12" s="20" t="str">
        <f>VLOOKUP(A12,'Table S6B'!A:E,5,FALSE)</f>
        <v>Environmental</v>
      </c>
      <c r="F12" s="20">
        <v>575</v>
      </c>
      <c r="G12" s="21">
        <v>0.97</v>
      </c>
      <c r="H12" s="20">
        <v>0</v>
      </c>
      <c r="I12" s="20">
        <v>66.42</v>
      </c>
      <c r="J12" s="20">
        <v>410</v>
      </c>
      <c r="K12" s="20" t="str">
        <f>HYPERLINK("https://www.ncbi.nlm.nih.gov/protein/MCC2865481.1?report=genbank&amp;log$=prottop&amp;blast_rank=159&amp;RID=AS4RWFEC013","MCC2865481.1")</f>
        <v>MCC2865481.1</v>
      </c>
      <c r="L12" s="20"/>
    </row>
    <row r="13" spans="1:12">
      <c r="A13" s="20" t="s">
        <v>419</v>
      </c>
      <c r="B13" s="20" t="str">
        <f>VLOOKUP(A13,'Table S6A'!A:C,2,FALSE)</f>
        <v>Actinomycetota</v>
      </c>
      <c r="C13" s="20" t="str">
        <f>VLOOKUP(A13,'Table S6A'!A:C,3,FALSE)</f>
        <v xml:space="preserve">Atopobiaceae </v>
      </c>
      <c r="D13" s="20" t="str">
        <f>VLOOKUP(A13,'Table S6B'!A:E,4,FALSE)</f>
        <v>human oral or gut microbiota</v>
      </c>
      <c r="E13" s="20" t="str">
        <f>VLOOKUP(A13,'Table S6B'!A:E,5,FALSE)</f>
        <v>Gastrointestinal tract</v>
      </c>
      <c r="F13" s="20">
        <v>502</v>
      </c>
      <c r="G13" s="21">
        <v>0.97</v>
      </c>
      <c r="H13" s="22">
        <v>1E-173</v>
      </c>
      <c r="I13" s="20">
        <v>59.27</v>
      </c>
      <c r="J13" s="20">
        <v>415</v>
      </c>
      <c r="K13" s="20" t="str">
        <f>HYPERLINK("https://www.ncbi.nlm.nih.gov/protein/WP_081933327.1?report=genbank&amp;log$=prottop&amp;blast_rank=250&amp;RID=AS4RWFEC013","WP_081933327.1")</f>
        <v>WP_081933327.1</v>
      </c>
      <c r="L13" s="20"/>
    </row>
    <row r="14" spans="1:12">
      <c r="A14" s="20" t="s">
        <v>423</v>
      </c>
      <c r="B14" s="20" t="str">
        <f>VLOOKUP(A14,'Table S6A'!A:C,2,FALSE)</f>
        <v>Actinomycetota</v>
      </c>
      <c r="C14" s="20" t="str">
        <f>VLOOKUP(A14,'Table S6A'!A:C,3,FALSE)</f>
        <v xml:space="preserve">Atopobiaceae </v>
      </c>
      <c r="D14" s="20" t="str">
        <f>VLOOKUP(A14,'Table S6B'!A:E,4,FALSE)</f>
        <v>blood of a patient with Fournier’s gangrene</v>
      </c>
      <c r="E14" s="20" t="str">
        <f>VLOOKUP(A14,'Table S6B'!A:E,5,FALSE)</f>
        <v>infection</v>
      </c>
      <c r="F14" s="20">
        <v>493</v>
      </c>
      <c r="G14" s="21">
        <v>0.98</v>
      </c>
      <c r="H14" s="22">
        <v>3.9999999999999999E-170</v>
      </c>
      <c r="I14" s="20">
        <v>58.88</v>
      </c>
      <c r="J14" s="20">
        <v>420</v>
      </c>
      <c r="K14" s="20" t="str">
        <f>HYPERLINK("https://www.ncbi.nlm.nih.gov/protein/KXB32960.1?report=genbank&amp;log$=prottop&amp;blast_rank=295&amp;RID=AS4RWFEC013","KXB32960.1")</f>
        <v>KXB32960.1</v>
      </c>
      <c r="L14" s="20"/>
    </row>
    <row r="15" spans="1:12">
      <c r="A15" s="20" t="s">
        <v>426</v>
      </c>
      <c r="B15" s="20" t="str">
        <f>VLOOKUP(A15,'Table S6A'!A:C,2,FALSE)</f>
        <v>Actinomycetota</v>
      </c>
      <c r="C15" s="20" t="str">
        <f>VLOOKUP(A15,'Table S6A'!A:C,3,FALSE)</f>
        <v xml:space="preserve">Atopobiaceae </v>
      </c>
      <c r="D15" s="20" t="str">
        <f>VLOOKUP(A15,'Table S6B'!A:E,4,FALSE)</f>
        <v>horse, submandilar abscess</v>
      </c>
      <c r="E15" s="20" t="str">
        <f>VLOOKUP(A15,'Table S6B'!A:E,5,FALSE)</f>
        <v>infection</v>
      </c>
      <c r="F15" s="20">
        <v>518</v>
      </c>
      <c r="G15" s="21">
        <v>0.97</v>
      </c>
      <c r="H15" s="22">
        <v>4.0000000000000001E-180</v>
      </c>
      <c r="I15" s="20">
        <v>61.76</v>
      </c>
      <c r="J15" s="20">
        <v>415</v>
      </c>
      <c r="K15" s="20" t="str">
        <f>HYPERLINK("https://www.ncbi.nlm.nih.gov/protein/WP_028263724.1?report=genbank&amp;log$=prottop&amp;blast_rank=213&amp;RID=AS4RWFEC013","WP_028263724.1")</f>
        <v>WP_028263724.1</v>
      </c>
      <c r="L15" s="20"/>
    </row>
    <row r="16" spans="1:12">
      <c r="A16" s="20" t="s">
        <v>428</v>
      </c>
      <c r="B16" s="20" t="str">
        <f>VLOOKUP(A16,'Table S6A'!A:C,2,FALSE)</f>
        <v>Actinomycetota</v>
      </c>
      <c r="C16" s="20" t="str">
        <f>VLOOKUP(A16,'Table S6A'!A:C,3,FALSE)</f>
        <v xml:space="preserve">Atopobiaceae </v>
      </c>
      <c r="D16" s="20" t="str">
        <f>VLOOKUP(A16,'Table S6B'!A:E,4,FALSE)</f>
        <v>a perineal abscess</v>
      </c>
      <c r="E16" s="20" t="str">
        <f>VLOOKUP(A16,'Table S6B'!A:E,5,FALSE)</f>
        <v>infection</v>
      </c>
      <c r="F16" s="20">
        <v>504</v>
      </c>
      <c r="G16" s="21">
        <v>0.96</v>
      </c>
      <c r="H16" s="22">
        <v>1E-174</v>
      </c>
      <c r="I16" s="20">
        <v>60.79</v>
      </c>
      <c r="J16" s="20">
        <v>406</v>
      </c>
      <c r="K16" s="20" t="str">
        <f>HYPERLINK("https://www.ncbi.nlm.nih.gov/protein/KRN55347.1?report=genbank&amp;log$=prottop&amp;blast_rank=246&amp;RID=AS4RWFEC013","KRN55347.1")</f>
        <v>KRN55347.1</v>
      </c>
      <c r="L16" s="20"/>
    </row>
    <row r="17" spans="1:12">
      <c r="A17" s="20" t="s">
        <v>430</v>
      </c>
      <c r="B17" s="20" t="str">
        <f>VLOOKUP(A17,'Table S6A'!A:C,2,FALSE)</f>
        <v>Actinomycetota</v>
      </c>
      <c r="C17" s="20" t="str">
        <f>VLOOKUP(A17,'Table S6A'!A:C,3,FALSE)</f>
        <v xml:space="preserve">Atopobiaceae </v>
      </c>
      <c r="D17" s="20" t="str">
        <f>VLOOKUP(A17,'Table S6B'!A:E,4,FALSE)</f>
        <v>human oral</v>
      </c>
      <c r="E17" s="20" t="str">
        <f>VLOOKUP(A17,'Table S6B'!A:E,5,FALSE)</f>
        <v>Gastrointestinal tract</v>
      </c>
      <c r="F17" s="20">
        <v>511</v>
      </c>
      <c r="G17" s="21">
        <v>0.98</v>
      </c>
      <c r="H17" s="22">
        <v>3.9999999999999998E-177</v>
      </c>
      <c r="I17" s="20">
        <v>60.63</v>
      </c>
      <c r="J17" s="20">
        <v>415</v>
      </c>
      <c r="K17" s="20" t="str">
        <f>HYPERLINK("https://www.ncbi.nlm.nih.gov/protein/MBF0947894.1?report=genbank&amp;log$=prottop&amp;blast_rank=228&amp;RID=AS4RWFEC013","MBF0947894.1")</f>
        <v>MBF0947894.1</v>
      </c>
      <c r="L17" s="20"/>
    </row>
    <row r="18" spans="1:12">
      <c r="A18" s="20" t="s">
        <v>432</v>
      </c>
      <c r="B18" s="20" t="str">
        <f>VLOOKUP(A18,'Table S6A'!A:C,2,FALSE)</f>
        <v>Actinomycetota</v>
      </c>
      <c r="C18" s="20" t="str">
        <f>VLOOKUP(A18,'Table S6A'!A:C,3,FALSE)</f>
        <v xml:space="preserve">Atopobiaceae </v>
      </c>
      <c r="D18" s="20" t="str">
        <f>VLOOKUP(A18,'Table S6B'!A:E,4,FALSE)</f>
        <v>the gut of a termite</v>
      </c>
      <c r="E18" s="20" t="str">
        <f>VLOOKUP(A18,'Table S6B'!A:E,5,FALSE)</f>
        <v>Gastrointestinal tract</v>
      </c>
      <c r="F18" s="20">
        <v>511</v>
      </c>
      <c r="G18" s="21">
        <v>0.98</v>
      </c>
      <c r="H18" s="22">
        <v>3.9999999999999998E-177</v>
      </c>
      <c r="I18" s="20">
        <v>60.63</v>
      </c>
      <c r="J18" s="20">
        <v>415</v>
      </c>
      <c r="K18" s="20" t="str">
        <f>HYPERLINK("https://www.ncbi.nlm.nih.gov/protein/WP_035435661.1?report=genbank&amp;log$=prottop&amp;blast_rank=227&amp;RID=AS4RWFEC013","WP_035435661.1")</f>
        <v>WP_035435661.1</v>
      </c>
      <c r="L18" s="20"/>
    </row>
    <row r="19" spans="1:12">
      <c r="A19" s="20" t="s">
        <v>434</v>
      </c>
      <c r="B19" s="20" t="str">
        <f>VLOOKUP(A19,'Table S6A'!A:C,2,FALSE)</f>
        <v>Actinomycetota</v>
      </c>
      <c r="C19" s="20" t="str">
        <f>VLOOKUP(A19,'Table S6A'!A:C,3,FALSE)</f>
        <v xml:space="preserve">Atopobiaceae </v>
      </c>
      <c r="D19" s="20" t="str">
        <f>VLOOKUP(A19,'Table S6B'!A:E,4,FALSE)</f>
        <v>the gut of a termite </v>
      </c>
      <c r="E19" s="20" t="str">
        <f>VLOOKUP(A19,'Table S6B'!A:E,5,FALSE)</f>
        <v>Gastrointestinal tract</v>
      </c>
      <c r="F19" s="20">
        <v>511</v>
      </c>
      <c r="G19" s="21">
        <v>0.98</v>
      </c>
      <c r="H19" s="22">
        <v>1.9999999999999999E-177</v>
      </c>
      <c r="I19" s="20">
        <v>60.87</v>
      </c>
      <c r="J19" s="20">
        <v>415</v>
      </c>
      <c r="K19" s="20" t="str">
        <f>HYPERLINK("https://www.ncbi.nlm.nih.gov/protein/WP_035428407.1?report=genbank&amp;log$=prottop&amp;blast_rank=226&amp;RID=AS4RWFEC013","WP_035428407.1")</f>
        <v>WP_035428407.1</v>
      </c>
      <c r="L19" s="20"/>
    </row>
    <row r="20" spans="1:12">
      <c r="A20" s="20" t="s">
        <v>436</v>
      </c>
      <c r="B20" s="20" t="str">
        <f>VLOOKUP(A20,'Table S6A'!A:C,2,FALSE)</f>
        <v>Actinomycetota</v>
      </c>
      <c r="C20" s="20" t="str">
        <f>VLOOKUP(A20,'Table S6A'!A:C,3,FALSE)</f>
        <v xml:space="preserve">Atopobiaceae </v>
      </c>
      <c r="D20" s="20" t="str">
        <f>VLOOKUP(A20,'Table S6B'!A:E,4,FALSE)</f>
        <v>human oral cavity </v>
      </c>
      <c r="E20" s="20" t="str">
        <f>VLOOKUP(A20,'Table S6B'!A:E,5,FALSE)</f>
        <v>Gastrointestinal tract</v>
      </c>
      <c r="F20" s="20">
        <v>509</v>
      </c>
      <c r="G20" s="21">
        <v>0.97</v>
      </c>
      <c r="H20" s="22">
        <v>2E-176</v>
      </c>
      <c r="I20" s="20">
        <v>60.73</v>
      </c>
      <c r="J20" s="20">
        <v>415</v>
      </c>
      <c r="K20" s="20" t="str">
        <f>HYPERLINK("https://www.ncbi.nlm.nih.gov/protein/WP_016478099.1?report=genbank&amp;log$=prottop&amp;blast_rank=233&amp;RID=AS4RWFEC013","WP_016478099.1")</f>
        <v>WP_016478099.1</v>
      </c>
      <c r="L20" s="20"/>
    </row>
    <row r="21" spans="1:12">
      <c r="A21" s="20" t="s">
        <v>438</v>
      </c>
      <c r="B21" s="20" t="str">
        <f>VLOOKUP(A21,'Table S6A'!A:C,2,FALSE)</f>
        <v>Bacteroidota</v>
      </c>
      <c r="C21" s="20" t="str">
        <f>VLOOKUP(A21,'Table S6A'!A:C,3,FALSE)</f>
        <v>unclassified Bacteroidales</v>
      </c>
      <c r="D21" s="20" t="str">
        <f>VLOOKUP(A21,'Table S6B'!A:E,4,FALSE)</f>
        <v>human feces</v>
      </c>
      <c r="E21" s="20" t="str">
        <f>VLOOKUP(A21,'Table S6B'!A:E,5,FALSE)</f>
        <v>Gastrointestinal tract</v>
      </c>
      <c r="F21" s="20">
        <v>585</v>
      </c>
      <c r="G21" s="21">
        <v>0.96</v>
      </c>
      <c r="H21" s="20">
        <v>0</v>
      </c>
      <c r="I21" s="20">
        <v>67.41</v>
      </c>
      <c r="J21" s="20">
        <v>404</v>
      </c>
      <c r="K21" s="20" t="str">
        <f>HYPERLINK("https://www.ncbi.nlm.nih.gov/protein/MBV1821068.1?report=genbank&amp;log$=prottop&amp;blast_rank=136&amp;RID=AS4RWFEC013","MBV1821068.1")</f>
        <v>MBV1821068.1</v>
      </c>
      <c r="L21" s="20"/>
    </row>
    <row r="22" spans="1:12">
      <c r="A22" s="20" t="s">
        <v>441</v>
      </c>
      <c r="B22" s="20" t="str">
        <f>VLOOKUP(A22,'Table S6A'!A:C,2,FALSE)</f>
        <v>Actinomycetota</v>
      </c>
      <c r="C22" s="20" t="str">
        <f>VLOOKUP(A22,'Table S6A'!A:C,3,FALSE)</f>
        <v>Bifidobacteriaceae</v>
      </c>
      <c r="D22" s="20" t="str">
        <f>VLOOKUP(A22,'Table S6B'!A:E,4,FALSE)</f>
        <v>human feces</v>
      </c>
      <c r="E22" s="20" t="str">
        <f>VLOOKUP(A22,'Table S6B'!A:E,5,FALSE)</f>
        <v>Gastrointestinal tract</v>
      </c>
      <c r="F22" s="20">
        <v>552</v>
      </c>
      <c r="G22" s="21">
        <v>0.98</v>
      </c>
      <c r="H22" s="20">
        <v>0</v>
      </c>
      <c r="I22" s="20">
        <v>67.23</v>
      </c>
      <c r="J22" s="20">
        <v>433</v>
      </c>
      <c r="K22" s="20" t="str">
        <f>HYPERLINK("https://www.ncbi.nlm.nih.gov/protein/KFI92571.1?report=genbank&amp;log$=prottop&amp;blast_rank=195&amp;RID=AS4RWFEC013","KFI92571.1")</f>
        <v>KFI92571.1</v>
      </c>
      <c r="L22" s="20"/>
    </row>
    <row r="23" spans="1:12">
      <c r="A23" s="20" t="s">
        <v>443</v>
      </c>
      <c r="B23" s="20" t="str">
        <f>VLOOKUP(A23,'Table S6A'!A:C,2,FALSE)</f>
        <v>Actinomycetota</v>
      </c>
      <c r="C23" s="20" t="str">
        <f>VLOOKUP(A23,'Table S6A'!A:C,3,FALSE)</f>
        <v>Bifidobacteriaceae</v>
      </c>
      <c r="D23" s="20" t="str">
        <f>VLOOKUP(A23,'Table S6B'!A:E,4,FALSE)</f>
        <v>the feces of Rousettus aegyptiacus</v>
      </c>
      <c r="E23" s="20" t="str">
        <f>VLOOKUP(A23,'Table S6B'!A:E,5,FALSE)</f>
        <v>Gastrointestinal tract</v>
      </c>
      <c r="F23" s="20">
        <v>555</v>
      </c>
      <c r="G23" s="21">
        <v>0.97</v>
      </c>
      <c r="H23" s="20">
        <v>0</v>
      </c>
      <c r="I23" s="20">
        <v>68.13</v>
      </c>
      <c r="J23" s="20">
        <v>415</v>
      </c>
      <c r="K23" s="20" t="str">
        <f>HYPERLINK("https://www.ncbi.nlm.nih.gov/protein/WP_150353900.1?report=genbank&amp;log$=prottop&amp;blast_rank=191&amp;RID=AS4RWFEC013","WP_150353900.1")</f>
        <v>WP_150353900.1</v>
      </c>
      <c r="L23" s="20"/>
    </row>
    <row r="24" spans="1:12">
      <c r="A24" s="20" t="s">
        <v>445</v>
      </c>
      <c r="B24" s="20" t="str">
        <f>VLOOKUP(A24,'Table S6A'!A:C,2,FALSE)</f>
        <v> Bacillota</v>
      </c>
      <c r="C24" s="20" t="str">
        <f>VLOOKUP(A24,'Table S6A'!A:C,3,FALSE)</f>
        <v>Lachnospiraceae</v>
      </c>
      <c r="D24" s="20" t="str">
        <f>VLOOKUP(A24,'Table S6B'!A:E,4,FALSE)</f>
        <v>mouse feces</v>
      </c>
      <c r="E24" s="20" t="str">
        <f>VLOOKUP(A24,'Table S6B'!A:E,5,FALSE)</f>
        <v>Gastrointestinal tract</v>
      </c>
      <c r="F24" s="20">
        <v>604</v>
      </c>
      <c r="G24" s="21">
        <v>0.98</v>
      </c>
      <c r="H24" s="20">
        <v>0</v>
      </c>
      <c r="I24" s="20">
        <v>70.84</v>
      </c>
      <c r="J24" s="20">
        <v>417</v>
      </c>
      <c r="K24" s="20" t="str">
        <f>HYPERLINK("https://www.ncbi.nlm.nih.gov/protein/WP_257414620.1?report=genbank&amp;log$=prottop&amp;blast_rank=87&amp;RID=AS4RWFEC013","WP_257414620.1")</f>
        <v>WP_257414620.1</v>
      </c>
      <c r="L24" s="20"/>
    </row>
    <row r="25" spans="1:12">
      <c r="A25" s="20" t="s">
        <v>448</v>
      </c>
      <c r="B25" s="20" t="str">
        <f>VLOOKUP(A25,'Table S6A'!A:C,2,FALSE)</f>
        <v> Bacillota</v>
      </c>
      <c r="C25" s="20" t="str">
        <f>VLOOKUP(A25,'Table S6A'!A:C,3,FALSE)</f>
        <v>Lachnospiraceae</v>
      </c>
      <c r="D25" s="20" t="str">
        <f>VLOOKUP(A25,'Table S6B'!A:E,4,FALSE)</f>
        <v>human feces</v>
      </c>
      <c r="E25" s="20" t="str">
        <f>VLOOKUP(A25,'Table S6B'!A:E,5,FALSE)</f>
        <v>Gastrointestinal tract</v>
      </c>
      <c r="F25" s="20">
        <v>611</v>
      </c>
      <c r="G25" s="21">
        <v>0.98</v>
      </c>
      <c r="H25" s="20">
        <v>0</v>
      </c>
      <c r="I25" s="20">
        <v>70.94</v>
      </c>
      <c r="J25" s="20">
        <v>415</v>
      </c>
      <c r="K25" s="20" t="str">
        <f>HYPERLINK("https://www.ncbi.nlm.nih.gov/protein/WP_227245283.1?report=genbank&amp;log$=prottop&amp;blast_rank=83&amp;RID=AS4RWFEC013","WP_227245283.1")</f>
        <v>WP_227245283.1</v>
      </c>
      <c r="L25" s="20"/>
    </row>
    <row r="26" spans="1:12">
      <c r="A26" s="20" t="s">
        <v>449</v>
      </c>
      <c r="B26" s="20" t="str">
        <f>VLOOKUP(A26,'Table S6A'!A:C,2,FALSE)</f>
        <v> Bacillota</v>
      </c>
      <c r="C26" s="20" t="str">
        <f>VLOOKUP(A26,'Table S6A'!A:C,3,FALSE)</f>
        <v>Lachnospiraceae</v>
      </c>
      <c r="D26" s="20" t="str">
        <f>VLOOKUP(A26,'Table S6B'!A:E,4,FALSE)</f>
        <v>human feces</v>
      </c>
      <c r="E26" s="20" t="str">
        <f>VLOOKUP(A26,'Table S6B'!A:E,5,FALSE)</f>
        <v>Gastrointestinal tract</v>
      </c>
      <c r="F26" s="20">
        <v>611</v>
      </c>
      <c r="G26" s="21">
        <v>0.98</v>
      </c>
      <c r="H26" s="20">
        <v>0</v>
      </c>
      <c r="I26" s="20">
        <v>71.12</v>
      </c>
      <c r="J26" s="20">
        <v>415</v>
      </c>
      <c r="K26" s="20" t="str">
        <f>HYPERLINK("https://www.ncbi.nlm.nih.gov/protein/WP_033142171.1?report=genbank&amp;log$=prottop&amp;blast_rank=82&amp;RID=AS4RWFEC013","WP_033142171.1")</f>
        <v>WP_033142171.1</v>
      </c>
      <c r="L26" s="20"/>
    </row>
    <row r="27" spans="1:12">
      <c r="A27" s="20" t="s">
        <v>450</v>
      </c>
      <c r="B27" s="20" t="str">
        <f>VLOOKUP(A27,'Table S6A'!A:C,2,FALSE)</f>
        <v> Bacillota</v>
      </c>
      <c r="C27" s="20" t="str">
        <f>VLOOKUP(A27,'Table S6A'!A:C,3,FALSE)</f>
        <v>Lachnospiraceae</v>
      </c>
      <c r="D27" s="20" t="str">
        <f>VLOOKUP(A27,'Table S6B'!A:E,4,FALSE)</f>
        <v>the rumen of suckling lamb</v>
      </c>
      <c r="E27" s="20" t="str">
        <f>VLOOKUP(A27,'Table S6B'!A:E,5,FALSE)</f>
        <v>Gastrointestinal tract</v>
      </c>
      <c r="F27" s="20">
        <v>586</v>
      </c>
      <c r="G27" s="21">
        <v>0.97</v>
      </c>
      <c r="H27" s="20">
        <v>0</v>
      </c>
      <c r="I27" s="20">
        <v>68.38</v>
      </c>
      <c r="J27" s="20">
        <v>413</v>
      </c>
      <c r="K27" s="20" t="str">
        <f>HYPERLINK("https://www.ncbi.nlm.nih.gov/protein/MDC7291030.1?report=genbank&amp;log$=prottop&amp;blast_rank=130&amp;RID=AS4RWFEC013","MDC7291030.1")</f>
        <v>MDC7291030.1</v>
      </c>
      <c r="L27" s="20"/>
    </row>
    <row r="28" spans="1:12">
      <c r="A28" s="20" t="s">
        <v>452</v>
      </c>
      <c r="B28" s="20" t="str">
        <f>VLOOKUP(A28,'Table S6A'!A:C,2,FALSE)</f>
        <v> Bacillota</v>
      </c>
      <c r="C28" s="20" t="str">
        <f>VLOOKUP(A28,'Table S6A'!A:C,3,FALSE)</f>
        <v>Lachnospiraceae</v>
      </c>
      <c r="D28" s="20" t="str">
        <f>VLOOKUP(A28,'Table S6B'!A:E,4,FALSE)</f>
        <v>Porpoise lung</v>
      </c>
      <c r="E28" s="20" t="str">
        <f>VLOOKUP(A28,'Table S6B'!A:E,5,FALSE)</f>
        <v>Gastrointestinal tract</v>
      </c>
      <c r="F28" s="20">
        <v>603</v>
      </c>
      <c r="G28" s="21">
        <v>0.98</v>
      </c>
      <c r="H28" s="20">
        <v>0</v>
      </c>
      <c r="I28" s="20">
        <v>71.08</v>
      </c>
      <c r="J28" s="20">
        <v>417</v>
      </c>
      <c r="K28" s="20" t="str">
        <f>HYPERLINK("https://www.ncbi.nlm.nih.gov/protein/WP_287713503.1?report=genbank&amp;log$=prottop&amp;blast_rank=91&amp;RID=AS4RWFEC013","WP_287713503.1")</f>
        <v>WP_287713503.1</v>
      </c>
      <c r="L28" s="20"/>
    </row>
    <row r="29" spans="1:12">
      <c r="A29" s="20" t="s">
        <v>454</v>
      </c>
      <c r="B29" s="20" t="str">
        <f>VLOOKUP(A29,'Table S6A'!A:C,2,FALSE)</f>
        <v> Bacillota</v>
      </c>
      <c r="C29" s="20" t="str">
        <f>VLOOKUP(A29,'Table S6A'!A:C,3,FALSE)</f>
        <v>Lachnospiraceae</v>
      </c>
      <c r="D29" s="20" t="str">
        <f>VLOOKUP(A29,'Table S6B'!A:E,4,FALSE)</f>
        <v>human feces</v>
      </c>
      <c r="E29" s="20" t="str">
        <f>VLOOKUP(A29,'Table S6B'!A:E,5,FALSE)</f>
        <v>Gastrointestinal tract</v>
      </c>
      <c r="F29" s="20">
        <v>613</v>
      </c>
      <c r="G29" s="21">
        <v>0.98</v>
      </c>
      <c r="H29" s="20">
        <v>0</v>
      </c>
      <c r="I29" s="20">
        <v>71.36</v>
      </c>
      <c r="J29" s="20">
        <v>415</v>
      </c>
      <c r="K29" s="20" t="str">
        <f>HYPERLINK("https://www.ncbi.nlm.nih.gov/protein/WP_244805996.1?report=genbank&amp;log$=prottop&amp;blast_rank=81&amp;RID=AS4RWFEC013","WP_244805996.1")</f>
        <v>WP_244805996.1</v>
      </c>
      <c r="L29" s="20"/>
    </row>
    <row r="30" spans="1:12">
      <c r="A30" s="20" t="s">
        <v>455</v>
      </c>
      <c r="B30" s="20" t="str">
        <f>VLOOKUP(A30,'Table S6A'!A:C,2,FALSE)</f>
        <v>Actinomycetota</v>
      </c>
      <c r="C30" s="20" t="str">
        <f>VLOOKUP(A30,'Table S6A'!A:C,3,FALSE)</f>
        <v>Actinomycetaceae</v>
      </c>
      <c r="D30" s="20" t="str">
        <f>VLOOKUP(A30,'Table S6B'!A:E,4,FALSE)</f>
        <v>Porpoise lung</v>
      </c>
      <c r="E30" s="20" t="str">
        <f>VLOOKUP(A30,'Table S6B'!A:E,5,FALSE)</f>
        <v>Gastrointestinal tract</v>
      </c>
      <c r="F30" s="20">
        <v>583</v>
      </c>
      <c r="G30" s="21">
        <v>0.97</v>
      </c>
      <c r="H30" s="20">
        <v>0</v>
      </c>
      <c r="I30" s="20">
        <v>66.75</v>
      </c>
      <c r="J30" s="20">
        <v>412</v>
      </c>
      <c r="K30" s="20" t="str">
        <f>HYPERLINK("https://www.ncbi.nlm.nih.gov/protein/OKL50574.1?report=genbank&amp;log$=prottop&amp;blast_rank=138&amp;RID=AS4RWFEC013","OKL50574.1")</f>
        <v>OKL50574.1</v>
      </c>
      <c r="L30" s="20"/>
    </row>
    <row r="31" spans="1:12">
      <c r="A31" s="20" t="s">
        <v>457</v>
      </c>
      <c r="B31" s="20" t="str">
        <f>VLOOKUP(A31,'Table S6A'!A:C,2,FALSE)</f>
        <v> Bacillota</v>
      </c>
      <c r="C31" s="20"/>
      <c r="D31" s="20" t="str">
        <f>VLOOKUP(A31,'Table S6B'!A:E,4,FALSE)</f>
        <v>human feces</v>
      </c>
      <c r="E31" s="20" t="str">
        <f>VLOOKUP(A31,'Table S6B'!A:E,5,FALSE)</f>
        <v>Gastrointestinal tract</v>
      </c>
      <c r="F31" s="20">
        <v>586</v>
      </c>
      <c r="G31" s="21">
        <v>0.98</v>
      </c>
      <c r="H31" s="20">
        <v>0</v>
      </c>
      <c r="I31" s="20">
        <v>68.77</v>
      </c>
      <c r="J31" s="20">
        <v>414</v>
      </c>
      <c r="K31" s="20" t="str">
        <f>HYPERLINK("https://www.ncbi.nlm.nih.gov/protein/WP_147594570.1?report=genbank&amp;log$=prottop&amp;blast_rank=132&amp;RID=AS4RWFEC013","WP_147594570.1")</f>
        <v>WP_147594570.1</v>
      </c>
      <c r="L31" s="20"/>
    </row>
    <row r="32" spans="1:12">
      <c r="A32" s="20" t="s">
        <v>459</v>
      </c>
      <c r="B32" s="20" t="s">
        <v>396</v>
      </c>
      <c r="C32" s="20" t="s">
        <v>404</v>
      </c>
      <c r="D32" s="20" t="str">
        <f>VLOOKUP(A32,'Table S6B'!A:E,4,FALSE)</f>
        <v>chicken gut</v>
      </c>
      <c r="E32" s="20" t="str">
        <f>VLOOKUP(A32,'Table S6B'!A:E,5,FALSE)</f>
        <v>Gastrointestinal tract</v>
      </c>
      <c r="F32" s="20">
        <v>667</v>
      </c>
      <c r="G32" s="21">
        <v>0.98</v>
      </c>
      <c r="H32" s="20">
        <v>0</v>
      </c>
      <c r="I32" s="20">
        <v>75.67</v>
      </c>
      <c r="J32" s="20">
        <v>411</v>
      </c>
      <c r="K32" s="20" t="str">
        <f>HYPERLINK("https://www.ncbi.nlm.nih.gov/protein/HIU63668.1?report=genbank&amp;log$=prottop&amp;blast_rank=62&amp;RID=AS4RWFEC013","HIU63668.1")</f>
        <v>HIU63668.1</v>
      </c>
      <c r="L32" s="20"/>
    </row>
    <row r="33" spans="1:12">
      <c r="A33" s="20" t="s">
        <v>462</v>
      </c>
      <c r="B33" s="20" t="str">
        <f>VLOOKUP(A33,'Table S6A'!A:C,2,FALSE)</f>
        <v>Actinomycetota</v>
      </c>
      <c r="C33" s="20" t="str">
        <f>VLOOKUP(A33,'Table S6A'!A:C,3,FALSE)</f>
        <v>Coriobacteriaceae</v>
      </c>
      <c r="D33" s="20" t="str">
        <f>VLOOKUP(A33,'Table S6B'!A:E,4,FALSE)</f>
        <v>chicken gut</v>
      </c>
      <c r="E33" s="20" t="str">
        <f>VLOOKUP(A33,'Table S6B'!A:E,5,FALSE)</f>
        <v>Gastrointestinal tract</v>
      </c>
      <c r="F33" s="20">
        <v>479</v>
      </c>
      <c r="G33" s="21">
        <v>0.98</v>
      </c>
      <c r="H33" s="22">
        <v>1.9999999999999999E-164</v>
      </c>
      <c r="I33" s="20">
        <v>58.64</v>
      </c>
      <c r="J33" s="20">
        <v>424</v>
      </c>
      <c r="K33" s="20" t="str">
        <f>HYPERLINK("https://www.ncbi.nlm.nih.gov/protein/WP_270847763.1?report=genbank&amp;log$=prottop&amp;blast_rank=417&amp;RID=AS4RWFEC013","WP_270847763.1")</f>
        <v>WP_270847763.1</v>
      </c>
      <c r="L33" s="20"/>
    </row>
    <row r="34" spans="1:12">
      <c r="A34" s="20" t="s">
        <v>464</v>
      </c>
      <c r="B34" s="20" t="str">
        <f>VLOOKUP(A34,'Table S6A'!A:C,2,FALSE)</f>
        <v> Bacillota</v>
      </c>
      <c r="C34" s="20" t="str">
        <f>VLOOKUP(A34,'Table S6A'!A:C,3,FALSE)</f>
        <v>Eubacteriaceae</v>
      </c>
      <c r="D34" s="20" t="str">
        <f>VLOOKUP(A34,'Table S6B'!A:E,4,FALSE)</f>
        <v>chicken gut</v>
      </c>
      <c r="E34" s="20" t="str">
        <f>VLOOKUP(A34,'Table S6B'!A:E,5,FALSE)</f>
        <v>Gastrointestinal tract</v>
      </c>
      <c r="F34" s="20">
        <v>575</v>
      </c>
      <c r="G34" s="21">
        <v>0.99</v>
      </c>
      <c r="H34" s="20">
        <v>0</v>
      </c>
      <c r="I34" s="20">
        <v>65.56</v>
      </c>
      <c r="J34" s="20">
        <v>423</v>
      </c>
      <c r="K34" s="20" t="str">
        <f>HYPERLINK("https://www.ncbi.nlm.nih.gov/protein/HIU96688.1?report=genbank&amp;log$=prottop&amp;blast_rank=160&amp;RID=AS4RWFEC013","HIU96688.1")</f>
        <v>HIU96688.1</v>
      </c>
      <c r="L34" s="20"/>
    </row>
    <row r="35" spans="1:12">
      <c r="A35" s="20" t="s">
        <v>466</v>
      </c>
      <c r="B35" s="20" t="str">
        <f>VLOOKUP(A35,'Table S6A'!A:C,2,FALSE)</f>
        <v> Bacillota</v>
      </c>
      <c r="C35" s="20" t="str">
        <f>VLOOKUP(A35,'Table S6A'!A:C,3,FALSE)</f>
        <v>Oscillospiraceae</v>
      </c>
      <c r="D35" s="20" t="str">
        <f>VLOOKUP(A35,'Table S6B'!A:E,4,FALSE)</f>
        <v>chicken gut</v>
      </c>
      <c r="E35" s="20" t="str">
        <f>VLOOKUP(A35,'Table S6B'!A:E,5,FALSE)</f>
        <v>Gastrointestinal tract</v>
      </c>
      <c r="F35" s="20">
        <v>716</v>
      </c>
      <c r="G35" s="21">
        <v>0.98</v>
      </c>
      <c r="H35" s="20">
        <v>0</v>
      </c>
      <c r="I35" s="20">
        <v>83.01</v>
      </c>
      <c r="J35" s="20">
        <v>413</v>
      </c>
      <c r="K35" s="20" t="str">
        <f>HYPERLINK("https://www.ncbi.nlm.nih.gov/protein/HIX06458.1?report=genbank&amp;log$=prottop&amp;blast_rank=11&amp;RID=AS4RWFEC013","HIX06458.1")</f>
        <v>HIX06458.1</v>
      </c>
      <c r="L35" s="20"/>
    </row>
    <row r="36" spans="1:12">
      <c r="A36" s="20" t="s">
        <v>468</v>
      </c>
      <c r="B36" s="20" t="str">
        <f>VLOOKUP(A36,'Table S6A'!A:C,2,FALSE)</f>
        <v> Bacillota</v>
      </c>
      <c r="C36" s="20"/>
      <c r="D36" s="20" t="str">
        <f>VLOOKUP(A36,'Table S6B'!A:E,4,FALSE)</f>
        <v>chicken gut</v>
      </c>
      <c r="E36" s="20" t="str">
        <f>VLOOKUP(A36,'Table S6B'!A:E,5,FALSE)</f>
        <v>Gastrointestinal tract</v>
      </c>
      <c r="F36" s="20">
        <v>705</v>
      </c>
      <c r="G36" s="21">
        <v>0.98</v>
      </c>
      <c r="H36" s="20">
        <v>0</v>
      </c>
      <c r="I36" s="20">
        <v>81.069999999999993</v>
      </c>
      <c r="J36" s="20">
        <v>413</v>
      </c>
      <c r="K36" s="20" t="str">
        <f>HYPERLINK("https://www.ncbi.nlm.nih.gov/protein/HIZ43024.1?report=genbank&amp;log$=prottop&amp;blast_rank=29&amp;RID=AS4RWFEC013","HIZ43024.1")</f>
        <v>HIZ43024.1</v>
      </c>
      <c r="L36" s="20"/>
    </row>
    <row r="37" spans="1:12">
      <c r="A37" s="20" t="s">
        <v>470</v>
      </c>
      <c r="B37" s="20" t="str">
        <f>VLOOKUP(A37,'Table S6A'!A:C,2,FALSE)</f>
        <v> Bacillota</v>
      </c>
      <c r="C37" s="20" t="str">
        <f>VLOOKUP(A37,'Table S6A'!A:C,3,FALSE)</f>
        <v>Oscillospiraceae</v>
      </c>
      <c r="D37" s="20" t="str">
        <f>VLOOKUP(A37,'Table S6B'!A:E,4,FALSE)</f>
        <v>the wastewater treatment plant</v>
      </c>
      <c r="E37" s="20" t="str">
        <f>VLOOKUP(A37,'Table S6B'!A:E,5,FALSE)</f>
        <v>Engineered</v>
      </c>
      <c r="F37" s="20">
        <v>689</v>
      </c>
      <c r="G37" s="21">
        <v>0.98</v>
      </c>
      <c r="H37" s="20">
        <v>0</v>
      </c>
      <c r="I37" s="20">
        <v>80.05</v>
      </c>
      <c r="J37" s="20">
        <v>414</v>
      </c>
      <c r="K37" s="20" t="str">
        <f>HYPERLINK("https://www.ncbi.nlm.nih.gov/protein/WP_135657531.1?report=genbank&amp;log$=prottop&amp;blast_rank=34&amp;RID=AS4RWFEC013","WP_135657531.1")</f>
        <v>WP_135657531.1</v>
      </c>
      <c r="L37" s="20"/>
    </row>
    <row r="38" spans="1:12">
      <c r="A38" s="20" t="s">
        <v>472</v>
      </c>
      <c r="B38" s="20" t="str">
        <f>VLOOKUP(A38,'Table S6A'!A:C,2,FALSE)</f>
        <v> Bacillota</v>
      </c>
      <c r="C38" s="20" t="str">
        <f>VLOOKUP(A38,'Table S6A'!A:C,3,FALSE)</f>
        <v>Clostridiaceae</v>
      </c>
      <c r="D38" s="20" t="str">
        <f>VLOOKUP(A38,'Table S6B'!A:E,4,FALSE)</f>
        <v>soil</v>
      </c>
      <c r="E38" s="20" t="str">
        <f>VLOOKUP(A38,'Table S6B'!A:E,5,FALSE)</f>
        <v>Environmental</v>
      </c>
      <c r="F38" s="20">
        <v>570</v>
      </c>
      <c r="G38" s="21">
        <v>0.97</v>
      </c>
      <c r="H38" s="20">
        <v>0</v>
      </c>
      <c r="I38" s="20">
        <v>65.53</v>
      </c>
      <c r="J38" s="20">
        <v>412</v>
      </c>
      <c r="K38" s="20" t="str">
        <f>HYPERLINK("https://www.ncbi.nlm.nih.gov/protein/AWZ48544.1?report=genbank&amp;log$=prottop&amp;blast_rank=167&amp;RID=AS4RWFEC013","AWZ48544.1")</f>
        <v>AWZ48544.1</v>
      </c>
      <c r="L38" s="20"/>
    </row>
    <row r="39" spans="1:12">
      <c r="A39" s="20" t="s">
        <v>474</v>
      </c>
      <c r="B39" s="20" t="str">
        <f>VLOOKUP(A39,'Table S6A'!A:C,2,FALSE)</f>
        <v> Bacillota</v>
      </c>
      <c r="C39" s="20" t="str">
        <f>VLOOKUP(A39,'Table S6A'!A:C,3,FALSE)</f>
        <v>Clostridiaceae</v>
      </c>
      <c r="D39" s="20" t="str">
        <f>VLOOKUP(A39,'Table S6B'!A:E,4,FALSE)</f>
        <v>the mud of olive mill wastewater evaporation pond</v>
      </c>
      <c r="E39" s="20" t="str">
        <f>VLOOKUP(A39,'Table S6B'!A:E,5,FALSE)</f>
        <v>Engineered</v>
      </c>
      <c r="F39" s="20">
        <v>566</v>
      </c>
      <c r="G39" s="21">
        <v>0.97</v>
      </c>
      <c r="H39" s="20">
        <v>0</v>
      </c>
      <c r="I39" s="20">
        <v>63.73</v>
      </c>
      <c r="J39" s="20">
        <v>413</v>
      </c>
      <c r="K39" s="20" t="str">
        <f>HYPERLINK("https://www.ncbi.nlm.nih.gov/protein/WP_026895359.1?report=genbank&amp;log$=prottop&amp;blast_rank=179&amp;RID=AS4RWFEC013","WP_026895359.1")</f>
        <v>WP_026895359.1</v>
      </c>
      <c r="L39" s="20"/>
    </row>
    <row r="40" spans="1:12">
      <c r="A40" s="20" t="s">
        <v>476</v>
      </c>
      <c r="B40" s="20" t="str">
        <f>VLOOKUP(A40,'Table S6A'!A:C,2,FALSE)</f>
        <v> Bacillota</v>
      </c>
      <c r="C40" s="20" t="str">
        <f>VLOOKUP(A40,'Table S6A'!A:C,3,FALSE)</f>
        <v>Clostridiaceae</v>
      </c>
      <c r="D40" s="20" t="str">
        <f>VLOOKUP(A40,'Table S6B'!A:E,4,FALSE)</f>
        <v>human feces</v>
      </c>
      <c r="E40" s="20" t="str">
        <f>VLOOKUP(A40,'Table S6B'!A:E,5,FALSE)</f>
        <v>Gastrointestinal tract</v>
      </c>
      <c r="F40" s="20">
        <v>556</v>
      </c>
      <c r="G40" s="21">
        <v>0.97</v>
      </c>
      <c r="H40" s="20">
        <v>0</v>
      </c>
      <c r="I40" s="20">
        <v>66.5</v>
      </c>
      <c r="J40" s="20">
        <v>411</v>
      </c>
      <c r="K40" s="20" t="str">
        <f>HYPERLINK("https://www.ncbi.nlm.nih.gov/protein/WP_032122148.1?report=genbank&amp;log$=prottop&amp;blast_rank=190&amp;RID=AS4RWFEC013","WP_032122148.1")</f>
        <v>WP_032122148.1</v>
      </c>
      <c r="L40" s="20"/>
    </row>
    <row r="41" spans="1:12">
      <c r="A41" s="20" t="s">
        <v>477</v>
      </c>
      <c r="B41" s="20" t="str">
        <f>VLOOKUP(A41,'Table S6A'!A:C,2,FALSE)</f>
        <v> Bacillota</v>
      </c>
      <c r="C41" s="20" t="str">
        <f>VLOOKUP(A41,'Table S6A'!A:C,3,FALSE)</f>
        <v>Clostridiaceae</v>
      </c>
      <c r="D41" s="20" t="str">
        <f>VLOOKUP(A41,'Table S6B'!A:E,4,FALSE)</f>
        <v>the mud in a North Carolina swamp</v>
      </c>
      <c r="E41" s="20" t="str">
        <f>VLOOKUP(A41,'Table S6B'!A:E,5,FALSE)</f>
        <v>Environmental</v>
      </c>
      <c r="F41" s="20">
        <v>667</v>
      </c>
      <c r="G41" s="21">
        <v>0.99</v>
      </c>
      <c r="H41" s="20">
        <v>0</v>
      </c>
      <c r="I41" s="20">
        <v>75.36</v>
      </c>
      <c r="J41" s="20">
        <v>417</v>
      </c>
      <c r="K41" s="20" t="str">
        <f>HYPERLINK("https://www.ncbi.nlm.nih.gov/protein/WP_206582835.1?report=genbank&amp;log$=prottop&amp;blast_rank=61&amp;RID=AS4RWFEC013","WP_206582835.1")</f>
        <v>WP_206582835.1</v>
      </c>
      <c r="L41" s="20"/>
    </row>
    <row r="42" spans="1:12">
      <c r="A42" s="20" t="s">
        <v>705</v>
      </c>
      <c r="B42" s="20" t="s">
        <v>396</v>
      </c>
      <c r="C42" s="20" t="s">
        <v>397</v>
      </c>
      <c r="D42" s="20" t="s">
        <v>503</v>
      </c>
      <c r="E42" s="20"/>
      <c r="F42" s="20">
        <v>513</v>
      </c>
      <c r="G42" s="21">
        <v>0.98</v>
      </c>
      <c r="H42" s="22">
        <v>8.9999999999999996E-178</v>
      </c>
      <c r="I42" s="20">
        <v>61.02</v>
      </c>
      <c r="J42" s="20">
        <v>415</v>
      </c>
      <c r="K42" s="20" t="str">
        <f>HYPERLINK("https://www.ncbi.nlm.nih.gov/protein/WP_039636119.1?report=genbank&amp;log$=prottop&amp;blast_rank=223&amp;RID=AS4RWFEC013","WP_039636119.1")</f>
        <v>WP_039636119.1</v>
      </c>
      <c r="L42" s="20"/>
    </row>
    <row r="43" spans="1:12">
      <c r="A43" s="20" t="s">
        <v>706</v>
      </c>
      <c r="B43" s="20" t="s">
        <v>396</v>
      </c>
      <c r="C43" s="20" t="s">
        <v>397</v>
      </c>
      <c r="D43" s="20" t="s">
        <v>707</v>
      </c>
      <c r="E43" s="20" t="s">
        <v>411</v>
      </c>
      <c r="F43" s="20">
        <v>491</v>
      </c>
      <c r="G43" s="21">
        <v>0.8</v>
      </c>
      <c r="H43" s="22">
        <v>2E-170</v>
      </c>
      <c r="I43" s="20">
        <v>69.64</v>
      </c>
      <c r="J43" s="20">
        <v>335</v>
      </c>
      <c r="K43" s="20" t="str">
        <f>HYPERLINK("https://www.ncbi.nlm.nih.gov/protein/WP_185670421.1?report=genbank&amp;log$=prottop&amp;blast_rank=288&amp;RID=AS4RWFEC013","WP_185670421.1")</f>
        <v>WP_185670421.1</v>
      </c>
      <c r="L43" s="20"/>
    </row>
    <row r="44" spans="1:12">
      <c r="A44" s="20" t="s">
        <v>479</v>
      </c>
      <c r="B44" s="20" t="str">
        <f>VLOOKUP(A44,'Table S6A'!A:C,2,FALSE)</f>
        <v> Bacillota</v>
      </c>
      <c r="C44" s="20" t="str">
        <f>VLOOKUP(A44,'Table S6A'!A:C,3,FALSE)</f>
        <v>Clostridiaceae</v>
      </c>
      <c r="D44" s="20" t="str">
        <f>VLOOKUP(A44,'Table S6B'!A:E,4,FALSE)</f>
        <v>the contaminated groundwater in the United States</v>
      </c>
      <c r="E44" s="20" t="str">
        <f>VLOOKUP(A44,'Table S6B'!A:E,5,FALSE)</f>
        <v>Engineered</v>
      </c>
      <c r="F44" s="20">
        <v>682</v>
      </c>
      <c r="G44" s="21">
        <v>0.97</v>
      </c>
      <c r="H44" s="20">
        <v>0</v>
      </c>
      <c r="I44" s="20">
        <v>79.41</v>
      </c>
      <c r="J44" s="20">
        <v>420</v>
      </c>
      <c r="K44" s="20" t="str">
        <f>HYPERLINK("https://www.ncbi.nlm.nih.gov/protein/WP_072985634.1?report=genbank&amp;log$=prottop&amp;blast_rank=50&amp;RID=AS4RWFEC013","WP_072985634.1")</f>
        <v>WP_072985634.1</v>
      </c>
      <c r="L44" s="20"/>
    </row>
    <row r="45" spans="1:12">
      <c r="A45" s="20" t="s">
        <v>481</v>
      </c>
      <c r="B45" s="20" t="str">
        <f>VLOOKUP(A45,'Table S6A'!A:C,2,FALSE)</f>
        <v> Bacillota</v>
      </c>
      <c r="C45" s="20" t="str">
        <f>VLOOKUP(A45,'Table S6A'!A:C,3,FALSE)</f>
        <v>Clostridiaceae</v>
      </c>
      <c r="D45" s="20" t="str">
        <f>VLOOKUP(A45,'Table S6B'!A:E,4,FALSE)</f>
        <v>muscular tissue of animals</v>
      </c>
      <c r="E45" s="20" t="str">
        <f>VLOOKUP(A45,'Table S6B'!A:E,5,FALSE)</f>
        <v>muscle</v>
      </c>
      <c r="F45" s="20">
        <v>676</v>
      </c>
      <c r="G45" s="21">
        <v>0.98</v>
      </c>
      <c r="H45" s="20">
        <v>0</v>
      </c>
      <c r="I45" s="20">
        <v>77.8</v>
      </c>
      <c r="J45" s="20">
        <v>420</v>
      </c>
      <c r="K45" s="20" t="str">
        <f>HYPERLINK("https://www.ncbi.nlm.nih.gov/protein/WP_021876833.1?report=genbank&amp;log$=prottop&amp;blast_rank=54&amp;RID=AS4RWFEC013","WP_021876833.1")</f>
        <v>WP_021876833.1</v>
      </c>
      <c r="L45" s="20"/>
    </row>
    <row r="46" spans="1:12">
      <c r="A46" s="20" t="s">
        <v>484</v>
      </c>
      <c r="B46" s="20" t="str">
        <f>VLOOKUP(A46,'Table S6A'!A:C,2,FALSE)</f>
        <v> Bacillota</v>
      </c>
      <c r="C46" s="20" t="str">
        <f>VLOOKUP(A46,'Table S6A'!A:C,3,FALSE)</f>
        <v>Clostridiaceae</v>
      </c>
      <c r="D46" s="20" t="str">
        <f>VLOOKUP(A46,'Table S6B'!A:E,4,FALSE)</f>
        <v>mouse feces</v>
      </c>
      <c r="E46" s="20" t="str">
        <f>VLOOKUP(A46,'Table S6B'!A:E,5,FALSE)</f>
        <v>Gastrointestinal tract</v>
      </c>
      <c r="F46" s="20">
        <v>595</v>
      </c>
      <c r="G46" s="21">
        <v>0.99</v>
      </c>
      <c r="H46" s="20">
        <v>0</v>
      </c>
      <c r="I46" s="20">
        <v>66.91</v>
      </c>
      <c r="J46" s="20">
        <v>413</v>
      </c>
      <c r="K46" s="20" t="str">
        <f>HYPERLINK("https://www.ncbi.nlm.nih.gov/protein/WP_089863003.1?report=genbank&amp;log$=prottop&amp;blast_rank=107&amp;RID=AS4RWFEC013","WP_089863003.1")</f>
        <v>WP_089863003.1</v>
      </c>
      <c r="L46" s="20"/>
    </row>
    <row r="47" spans="1:12">
      <c r="A47" s="20" t="s">
        <v>485</v>
      </c>
      <c r="B47" s="20" t="str">
        <f>VLOOKUP(A47,'Table S6A'!A:C,2,FALSE)</f>
        <v> Bacillota</v>
      </c>
      <c r="C47" s="20" t="str">
        <f>VLOOKUP(A47,'Table S6A'!A:C,3,FALSE)</f>
        <v>Clostridiaceae</v>
      </c>
      <c r="D47" s="20" t="str">
        <f>VLOOKUP(A47,'Table S6B'!A:E,4,FALSE)</f>
        <v>sewage sludge in the United States</v>
      </c>
      <c r="E47" s="20" t="str">
        <f>VLOOKUP(A47,'Table S6B'!A:E,5,FALSE)</f>
        <v>Environmental</v>
      </c>
      <c r="F47" s="20">
        <v>574</v>
      </c>
      <c r="G47" s="21">
        <v>0.97</v>
      </c>
      <c r="H47" s="20">
        <v>0</v>
      </c>
      <c r="I47" s="20">
        <v>66.5</v>
      </c>
      <c r="J47" s="20">
        <v>413</v>
      </c>
      <c r="K47" s="20" t="str">
        <f>HYPERLINK("https://www.ncbi.nlm.nih.gov/protein/WP_072830729.1?report=genbank&amp;log$=prottop&amp;blast_rank=161&amp;RID=AS4RWFEC013","WP_072830729.1")</f>
        <v>WP_072830729.1</v>
      </c>
      <c r="L47" s="20"/>
    </row>
    <row r="48" spans="1:12">
      <c r="A48" s="20" t="s">
        <v>487</v>
      </c>
      <c r="B48" s="20" t="str">
        <f>VLOOKUP(A48,'Table S6A'!A:C,2,FALSE)</f>
        <v> Bacillota</v>
      </c>
      <c r="C48" s="20" t="str">
        <f>VLOOKUP(A48,'Table S6A'!A:C,3,FALSE)</f>
        <v>Clostridiaceae</v>
      </c>
      <c r="D48" s="20" t="str">
        <f>VLOOKUP(A48,'Table S6B'!A:E,4,FALSE)</f>
        <v>the stool of an obese patient</v>
      </c>
      <c r="E48" s="20" t="str">
        <f>VLOOKUP(A48,'Table S6B'!A:E,5,FALSE)</f>
        <v>infection</v>
      </c>
      <c r="F48" s="20">
        <v>672</v>
      </c>
      <c r="G48" s="21">
        <v>0.97</v>
      </c>
      <c r="H48" s="20">
        <v>0</v>
      </c>
      <c r="I48" s="20">
        <v>76.77</v>
      </c>
      <c r="J48" s="20">
        <v>415</v>
      </c>
      <c r="K48" s="20" t="str">
        <f>HYPERLINK("https://www.ncbi.nlm.nih.gov/protein/WP_040193483.1?report=genbank&amp;log$=prottop&amp;blast_rank=59&amp;RID=AS4RWFEC013","WP_040193483.1")</f>
        <v>WP_040193483.1</v>
      </c>
      <c r="L48" s="20"/>
    </row>
    <row r="49" spans="1:12">
      <c r="A49" s="20" t="s">
        <v>489</v>
      </c>
      <c r="B49" s="20" t="str">
        <f>VLOOKUP(A49,'Table S6A'!A:C,2,FALSE)</f>
        <v> Bacillota</v>
      </c>
      <c r="C49" s="20" t="str">
        <f>VLOOKUP(A49,'Table S6A'!A:C,3,FALSE)</f>
        <v>Clostridiaceae</v>
      </c>
      <c r="D49" s="20" t="str">
        <f>VLOOKUP(A49,'Table S6B'!A:E,4,FALSE)</f>
        <v>the stool sample of a human with anorexia nervosa</v>
      </c>
      <c r="E49" s="20" t="str">
        <f>VLOOKUP(A49,'Table S6B'!A:E,5,FALSE)</f>
        <v>infection</v>
      </c>
      <c r="F49" s="20">
        <v>595</v>
      </c>
      <c r="G49" s="21">
        <v>0.98</v>
      </c>
      <c r="H49" s="20">
        <v>0</v>
      </c>
      <c r="I49" s="20">
        <v>69.17</v>
      </c>
      <c r="J49" s="20">
        <v>412</v>
      </c>
      <c r="K49" s="20" t="str">
        <f>HYPERLINK("https://www.ncbi.nlm.nih.gov/protein/WP_040329657.1?report=genbank&amp;log$=prottop&amp;blast_rank=106&amp;RID=AS4RWFEC013","WP_040329657.1")</f>
        <v>WP_040329657.1</v>
      </c>
      <c r="L49" s="20"/>
    </row>
    <row r="50" spans="1:12">
      <c r="A50" s="20" t="s">
        <v>491</v>
      </c>
      <c r="B50" s="20" t="str">
        <f>VLOOKUP(A50,'Table S6A'!A:C,2,FALSE)</f>
        <v> Bacillota</v>
      </c>
      <c r="C50" s="20" t="str">
        <f>VLOOKUP(A50,'Table S6A'!A:C,3,FALSE)</f>
        <v>Clostridiaceae</v>
      </c>
      <c r="D50" s="20" t="str">
        <f>VLOOKUP(A50,'Table S6B'!A:E,4,FALSE)</f>
        <v>a cow rumen</v>
      </c>
      <c r="E50" s="20" t="str">
        <f>VLOOKUP(A50,'Table S6B'!A:E,5,FALSE)</f>
        <v>Gastrointestinal tract</v>
      </c>
      <c r="F50" s="20">
        <v>586</v>
      </c>
      <c r="G50" s="21">
        <v>0.97</v>
      </c>
      <c r="H50" s="20">
        <v>0</v>
      </c>
      <c r="I50" s="20">
        <v>66.989999999999995</v>
      </c>
      <c r="J50" s="20">
        <v>412</v>
      </c>
      <c r="K50" s="20" t="str">
        <f>HYPERLINK("https://www.ncbi.nlm.nih.gov/protein/WP_027623392.1?report=genbank&amp;log$=prottop&amp;blast_rank=129&amp;RID=AS4RWFEC013","WP_027623392.1")</f>
        <v>WP_027623392.1</v>
      </c>
      <c r="L50" s="20"/>
    </row>
    <row r="51" spans="1:12">
      <c r="A51" s="20" t="s">
        <v>493</v>
      </c>
      <c r="B51" s="20" t="str">
        <f>VLOOKUP(A51,'Table S6A'!A:C,2,FALSE)</f>
        <v> Bacillota</v>
      </c>
      <c r="C51" s="20" t="str">
        <f>VLOOKUP(A51,'Table S6A'!A:C,3,FALSE)</f>
        <v>Clostridiaceae</v>
      </c>
      <c r="D51" s="20" t="str">
        <f>VLOOKUP(A51,'Table S6B'!A:E,4,FALSE)</f>
        <v>human feces</v>
      </c>
      <c r="E51" s="20" t="str">
        <f>VLOOKUP(A51,'Table S6B'!A:E,5,FALSE)</f>
        <v>Gastrointestinal tract</v>
      </c>
      <c r="F51" s="20">
        <v>589</v>
      </c>
      <c r="G51" s="21">
        <v>0.98</v>
      </c>
      <c r="H51" s="20">
        <v>0</v>
      </c>
      <c r="I51" s="20">
        <v>66.83</v>
      </c>
      <c r="J51" s="20">
        <v>412</v>
      </c>
      <c r="K51" s="20" t="str">
        <f>HYPERLINK("https://www.ncbi.nlm.nih.gov/protein/WP_216438608.1?report=genbank&amp;log$=prottop&amp;blast_rank=121&amp;RID=AS4RWFEC013","WP_216438608.1")</f>
        <v>WP_216438608.1</v>
      </c>
      <c r="L51" s="20"/>
    </row>
    <row r="52" spans="1:12">
      <c r="A52" s="20" t="s">
        <v>494</v>
      </c>
      <c r="B52" s="20" t="str">
        <f>VLOOKUP(A52,'Table S6A'!A:C,2,FALSE)</f>
        <v> Bacillota</v>
      </c>
      <c r="C52" s="20" t="str">
        <f>VLOOKUP(A52,'Table S6A'!A:C,3,FALSE)</f>
        <v>Clostridiaceae</v>
      </c>
      <c r="D52" s="20" t="str">
        <f>VLOOKUP(A52,'Table S6B'!A:E,4,FALSE)</f>
        <v>rectum</v>
      </c>
      <c r="E52" s="20" t="str">
        <f>VLOOKUP(A52,'Table S6B'!A:E,5,FALSE)</f>
        <v>Gastrointestinal tract</v>
      </c>
      <c r="F52" s="20">
        <v>578</v>
      </c>
      <c r="G52" s="21">
        <v>0.98</v>
      </c>
      <c r="H52" s="20">
        <v>0</v>
      </c>
      <c r="I52" s="20">
        <v>65.62</v>
      </c>
      <c r="J52" s="20">
        <v>412</v>
      </c>
      <c r="K52" s="20" t="str">
        <f>HYPERLINK("https://www.ncbi.nlm.nih.gov/protein/WP_125154262.1?report=genbank&amp;log$=prottop&amp;blast_rank=157&amp;RID=AS4RWFEC013","WP_125154262.1")</f>
        <v>WP_125154262.1</v>
      </c>
      <c r="L52" s="20"/>
    </row>
    <row r="53" spans="1:12">
      <c r="A53" s="20" t="s">
        <v>496</v>
      </c>
      <c r="B53" s="20" t="str">
        <f>VLOOKUP(A53,'Table S6A'!A:C,2,FALSE)</f>
        <v> Bacillota</v>
      </c>
      <c r="C53" s="20" t="str">
        <f>VLOOKUP(A53,'Table S6A'!A:C,3,FALSE)</f>
        <v>Clostridiaceae</v>
      </c>
      <c r="D53" s="20" t="str">
        <f>VLOOKUP(A53,'Table S6B'!A:E,4,FALSE)</f>
        <v>human feces</v>
      </c>
      <c r="E53" s="20" t="str">
        <f>VLOOKUP(A53,'Table S6B'!A:E,5,FALSE)</f>
        <v>Gastrointestinal tract</v>
      </c>
      <c r="F53" s="20">
        <v>587</v>
      </c>
      <c r="G53" s="21">
        <v>0.98</v>
      </c>
      <c r="H53" s="20">
        <v>0</v>
      </c>
      <c r="I53" s="20">
        <v>68.2</v>
      </c>
      <c r="J53" s="20">
        <v>412</v>
      </c>
      <c r="K53" s="20" t="str">
        <f>HYPERLINK("https://www.ncbi.nlm.nih.gov/protein/WP_216450320.1?report=genbank&amp;log$=prottop&amp;blast_rank=124&amp;RID=AS4RWFEC013","WP_216450320.1")</f>
        <v>WP_216450320.1</v>
      </c>
      <c r="L53" s="20"/>
    </row>
    <row r="54" spans="1:12">
      <c r="A54" s="20" t="s">
        <v>497</v>
      </c>
      <c r="B54" s="20" t="str">
        <f>VLOOKUP(A54,'Table S6A'!A:C,2,FALSE)</f>
        <v> Bacillota</v>
      </c>
      <c r="C54" s="20" t="str">
        <f>VLOOKUP(A54,'Table S6A'!A:C,3,FALSE)</f>
        <v>Clostridiaceae</v>
      </c>
      <c r="D54" s="20" t="str">
        <f>VLOOKUP(A54,'Table S6B'!A:E,4,FALSE)</f>
        <v>monkey feces</v>
      </c>
      <c r="E54" s="20" t="str">
        <f>VLOOKUP(A54,'Table S6B'!A:E,5,FALSE)</f>
        <v>Gastrointestinal tract</v>
      </c>
      <c r="F54" s="20">
        <v>551</v>
      </c>
      <c r="G54" s="21">
        <v>0.97</v>
      </c>
      <c r="H54" s="20">
        <v>0</v>
      </c>
      <c r="I54" s="20">
        <v>66.010000000000005</v>
      </c>
      <c r="J54" s="20">
        <v>411</v>
      </c>
      <c r="K54" s="20" t="str">
        <f>HYPERLINK("https://www.ncbi.nlm.nih.gov/protein/WP_216456263.1?report=genbank&amp;log$=prottop&amp;blast_rank=200&amp;RID=AS4RWFEC013","WP_216456263.1")</f>
        <v>WP_216456263.1</v>
      </c>
      <c r="L54" s="20"/>
    </row>
    <row r="55" spans="1:12">
      <c r="A55" s="20" t="s">
        <v>499</v>
      </c>
      <c r="B55" s="20" t="str">
        <f>VLOOKUP(A55,'Table S6A'!A:C,2,FALSE)</f>
        <v> Bacillota</v>
      </c>
      <c r="C55" s="20" t="str">
        <f>VLOOKUP(A55,'Table S6A'!A:C,3,FALSE)</f>
        <v>Clostridiaceae</v>
      </c>
      <c r="D55" s="20" t="str">
        <f>VLOOKUP(A55,'Table S6B'!A:E,4,FALSE)</f>
        <v>human feces</v>
      </c>
      <c r="E55" s="20" t="str">
        <f>VLOOKUP(A55,'Table S6B'!A:E,5,FALSE)</f>
        <v>Gastrointestinal tract</v>
      </c>
      <c r="F55" s="20">
        <v>570</v>
      </c>
      <c r="G55" s="21">
        <v>0.98</v>
      </c>
      <c r="H55" s="20">
        <v>0</v>
      </c>
      <c r="I55" s="20">
        <v>65.38</v>
      </c>
      <c r="J55" s="20">
        <v>413</v>
      </c>
      <c r="K55" s="20" t="str">
        <f>HYPERLINK("https://www.ncbi.nlm.nih.gov/protein/MBS1483465.1?report=genbank&amp;log$=prottop&amp;blast_rank=166&amp;RID=AS4RWFEC013","MBS1483465.1")</f>
        <v>MBS1483465.1</v>
      </c>
      <c r="L55" s="20"/>
    </row>
    <row r="56" spans="1:12">
      <c r="A56" s="20" t="s">
        <v>500</v>
      </c>
      <c r="B56" s="20" t="str">
        <f>VLOOKUP(A56,'Table S6A'!A:C,2,FALSE)</f>
        <v> Bacillota</v>
      </c>
      <c r="C56" s="20" t="str">
        <f>VLOOKUP(A56,'Table S6A'!A:C,3,FALSE)</f>
        <v>Clostridiaceae</v>
      </c>
      <c r="D56" s="20" t="str">
        <f>VLOOKUP(A56,'Table S6B'!A:E,4,FALSE)</f>
        <v>industrial product</v>
      </c>
      <c r="E56" s="20" t="str">
        <f>VLOOKUP(A56,'Table S6B'!A:E,5,FALSE)</f>
        <v>Engineered</v>
      </c>
      <c r="F56" s="20">
        <v>650</v>
      </c>
      <c r="G56" s="21">
        <v>0.98</v>
      </c>
      <c r="H56" s="20">
        <v>0</v>
      </c>
      <c r="I56" s="20">
        <v>76.510000000000005</v>
      </c>
      <c r="J56" s="20">
        <v>420</v>
      </c>
      <c r="K56" s="20" t="str">
        <f>HYPERLINK("https://www.ncbi.nlm.nih.gov/protein/WP_208333477.1?report=genbank&amp;log$=prottop&amp;blast_rank=69&amp;RID=AS4RWFEC013","WP_208333477.1")</f>
        <v>WP_208333477.1</v>
      </c>
      <c r="L56" s="20"/>
    </row>
    <row r="57" spans="1:12">
      <c r="A57" s="20" t="s">
        <v>502</v>
      </c>
      <c r="B57" s="20" t="str">
        <f>VLOOKUP(A57,'Table S6A'!A:C,2,FALSE)</f>
        <v> Bacillota</v>
      </c>
      <c r="C57" s="20" t="str">
        <f>VLOOKUP(A57,'Table S6A'!A:C,3,FALSE)</f>
        <v>Clostridiaceae</v>
      </c>
      <c r="D57" s="20" t="str">
        <f>VLOOKUP(A57,'Table S6B'!A:E,4,FALSE)</f>
        <v>unknown</v>
      </c>
      <c r="E57" s="20"/>
      <c r="F57" s="20">
        <v>561</v>
      </c>
      <c r="G57" s="21">
        <v>0.97</v>
      </c>
      <c r="H57" s="20">
        <v>0</v>
      </c>
      <c r="I57" s="20">
        <v>64.790000000000006</v>
      </c>
      <c r="J57" s="20">
        <v>412</v>
      </c>
      <c r="K57" s="20" t="str">
        <f>HYPERLINK("https://www.ncbi.nlm.nih.gov/protein/MCF6465348.1?report=genbank&amp;log$=prottop&amp;blast_rank=185&amp;RID=AS4RWFEC013","MCF6465348.1")</f>
        <v>MCF6465348.1</v>
      </c>
      <c r="L57" s="20"/>
    </row>
    <row r="58" spans="1:12">
      <c r="A58" s="20" t="s">
        <v>504</v>
      </c>
      <c r="B58" s="20" t="str">
        <f>VLOOKUP(A58,'Table S6A'!A:C,2,FALSE)</f>
        <v> Bacillota</v>
      </c>
      <c r="C58" s="20" t="str">
        <f>VLOOKUP(A58,'Table S6A'!A:C,3,FALSE)</f>
        <v>Clostridiaceae</v>
      </c>
      <c r="D58" s="20" t="str">
        <f>VLOOKUP(A58,'Table S6B'!A:E,4,FALSE)</f>
        <v>unknown</v>
      </c>
      <c r="E58" s="20"/>
      <c r="F58" s="20">
        <v>583</v>
      </c>
      <c r="G58" s="21">
        <v>0.98</v>
      </c>
      <c r="H58" s="20">
        <v>0</v>
      </c>
      <c r="I58" s="20">
        <v>67.55</v>
      </c>
      <c r="J58" s="20">
        <v>412</v>
      </c>
      <c r="K58" s="20" t="str">
        <f>HYPERLINK("https://www.ncbi.nlm.nih.gov/protein/WP_236909014.1?report=genbank&amp;log$=prottop&amp;blast_rank=142&amp;RID=AS4RWFEC013","WP_236909014.1")</f>
        <v>WP_236909014.1</v>
      </c>
      <c r="L58" s="20"/>
    </row>
    <row r="59" spans="1:12">
      <c r="A59" s="20" t="s">
        <v>505</v>
      </c>
      <c r="B59" s="20" t="str">
        <f>VLOOKUP(A59,'Table S6A'!A:C,2,FALSE)</f>
        <v> Bacillota</v>
      </c>
      <c r="C59" s="20" t="str">
        <f>VLOOKUP(A59,'Table S6A'!A:C,3,FALSE)</f>
        <v>Clostridiaceae</v>
      </c>
      <c r="D59" s="20" t="str">
        <f>VLOOKUP(A59,'Table S6B'!A:E,4,FALSE)</f>
        <v>soil</v>
      </c>
      <c r="E59" s="20" t="str">
        <f>VLOOKUP(A59,'Table S6B'!A:E,5,FALSE)</f>
        <v>Environmental</v>
      </c>
      <c r="F59" s="20">
        <v>593</v>
      </c>
      <c r="G59" s="21">
        <v>0.98</v>
      </c>
      <c r="H59" s="20">
        <v>0</v>
      </c>
      <c r="I59" s="20">
        <v>67.55</v>
      </c>
      <c r="J59" s="20">
        <v>413</v>
      </c>
      <c r="K59" s="20" t="str">
        <f>HYPERLINK("https://www.ncbi.nlm.nih.gov/protein/WP_035293394.1?report=genbank&amp;log$=prottop&amp;blast_rank=112&amp;RID=AS4RWFEC013","WP_035293394.1")</f>
        <v>WP_035293394.1</v>
      </c>
      <c r="L59" s="20"/>
    </row>
    <row r="60" spans="1:12">
      <c r="A60" s="20" t="s">
        <v>506</v>
      </c>
      <c r="B60" s="20" t="str">
        <f>VLOOKUP(A60,'Table S6A'!A:C,2,FALSE)</f>
        <v> Bacillota</v>
      </c>
      <c r="C60" s="20" t="str">
        <f>VLOOKUP(A60,'Table S6A'!A:C,3,FALSE)</f>
        <v>Clostridiaceae</v>
      </c>
      <c r="D60" s="20" t="str">
        <f>VLOOKUP(A60,'Table S6B'!A:E,4,FALSE)</f>
        <v>pond sediment</v>
      </c>
      <c r="E60" s="20" t="str">
        <f>VLOOKUP(A60,'Table S6B'!A:E,5,FALSE)</f>
        <v>Environmental</v>
      </c>
      <c r="F60" s="20">
        <v>569</v>
      </c>
      <c r="G60" s="21">
        <v>0.99</v>
      </c>
      <c r="H60" s="20">
        <v>0</v>
      </c>
      <c r="I60" s="20">
        <v>63.53</v>
      </c>
      <c r="J60" s="20">
        <v>414</v>
      </c>
      <c r="K60" s="20" t="str">
        <f>HYPERLINK("https://www.ncbi.nlm.nih.gov/protein/WP_035132890.1?report=genbank&amp;log$=prottop&amp;blast_rank=171&amp;RID=AS4RWFEC013","WP_035132890.1")</f>
        <v>WP_035132890.1</v>
      </c>
      <c r="L60" s="20"/>
    </row>
    <row r="61" spans="1:12">
      <c r="A61" s="20" t="s">
        <v>508</v>
      </c>
      <c r="B61" s="20" t="str">
        <f>VLOOKUP(A61,'Table S6A'!A:C,2,FALSE)</f>
        <v> Bacillota</v>
      </c>
      <c r="C61" s="20" t="str">
        <f>VLOOKUP(A61,'Table S6A'!A:C,3,FALSE)</f>
        <v>Clostridiaceae</v>
      </c>
      <c r="D61" s="20" t="str">
        <f>VLOOKUP(A61,'Table S6B'!A:E,4,FALSE)</f>
        <v>soil and animal feces</v>
      </c>
      <c r="E61" s="20" t="str">
        <f>VLOOKUP(A61,'Table S6B'!A:E,5,FALSE)</f>
        <v>Environmental/Gastrointestinal tract</v>
      </c>
      <c r="F61" s="20">
        <v>585</v>
      </c>
      <c r="G61" s="21">
        <v>0.98</v>
      </c>
      <c r="H61" s="20">
        <v>0</v>
      </c>
      <c r="I61" s="20">
        <v>66.099999999999994</v>
      </c>
      <c r="J61" s="20">
        <v>415</v>
      </c>
      <c r="K61" s="20" t="str">
        <f>HYPERLINK("https://www.ncbi.nlm.nih.gov/protein/WP_035141630.1?report=genbank&amp;log$=prottop&amp;blast_rank=134&amp;RID=AS4RWFEC013","WP_035141630.1")</f>
        <v>WP_035141630.1</v>
      </c>
      <c r="L61" s="20"/>
    </row>
    <row r="62" spans="1:12">
      <c r="A62" s="20" t="s">
        <v>511</v>
      </c>
      <c r="B62" s="20" t="str">
        <f>VLOOKUP(A62,'Table S6A'!A:C,2,FALSE)</f>
        <v> Bacillota</v>
      </c>
      <c r="C62" s="20" t="str">
        <f>VLOOKUP(A62,'Table S6A'!A:C,3,FALSE)</f>
        <v>Clostridiaceae</v>
      </c>
      <c r="D62" s="20" t="str">
        <f>VLOOKUP(A62,'Table S6B'!A:E,4,FALSE)</f>
        <v>soil</v>
      </c>
      <c r="E62" s="20" t="str">
        <f>VLOOKUP(A62,'Table S6B'!A:E,5,FALSE)</f>
        <v>Environmental</v>
      </c>
      <c r="F62" s="20">
        <v>591</v>
      </c>
      <c r="G62" s="21">
        <v>0.98</v>
      </c>
      <c r="H62" s="20">
        <v>0</v>
      </c>
      <c r="I62" s="20">
        <v>67.55</v>
      </c>
      <c r="J62" s="20">
        <v>412</v>
      </c>
      <c r="K62" s="20" t="str">
        <f>HYPERLINK("https://www.ncbi.nlm.nih.gov/protein/WP_035148934.1?report=genbank&amp;log$=prottop&amp;blast_rank=116&amp;RID=AS4RWFEC013","WP_035148934.1")</f>
        <v>WP_035148934.1</v>
      </c>
      <c r="L62" s="20"/>
    </row>
    <row r="63" spans="1:12">
      <c r="A63" s="20" t="s">
        <v>512</v>
      </c>
      <c r="B63" s="20" t="str">
        <f>VLOOKUP(A63,'Table S6A'!A:C,2,FALSE)</f>
        <v> Bacillota</v>
      </c>
      <c r="C63" s="20" t="str">
        <f>VLOOKUP(A63,'Table S6A'!A:C,3,FALSE)</f>
        <v>Clostridiaceae</v>
      </c>
      <c r="D63" s="20" t="str">
        <f>VLOOKUP(A63,'Table S6B'!A:E,4,FALSE)</f>
        <v>acidic peat bog</v>
      </c>
      <c r="E63" s="20" t="str">
        <f>VLOOKUP(A63,'Table S6B'!A:E,5,FALSE)</f>
        <v>Environmental</v>
      </c>
      <c r="F63" s="20">
        <v>667</v>
      </c>
      <c r="G63" s="21">
        <v>0.98</v>
      </c>
      <c r="H63" s="20">
        <v>0</v>
      </c>
      <c r="I63" s="20">
        <v>76.510000000000005</v>
      </c>
      <c r="J63" s="20">
        <v>420</v>
      </c>
      <c r="K63" s="20" t="str">
        <f>HYPERLINK("https://www.ncbi.nlm.nih.gov/protein/WP_090094208.1?report=genbank&amp;log$=prottop&amp;blast_rank=63&amp;RID=AS4RWFEC013","WP_090094208.1")</f>
        <v>WP_090094208.1</v>
      </c>
      <c r="L63" s="20"/>
    </row>
    <row r="64" spans="1:12">
      <c r="A64" s="20" t="s">
        <v>514</v>
      </c>
      <c r="B64" s="20" t="str">
        <f>VLOOKUP(A64,'Table S6A'!A:C,2,FALSE)</f>
        <v> Bacillota</v>
      </c>
      <c r="C64" s="20" t="str">
        <f>VLOOKUP(A64,'Table S6A'!A:C,3,FALSE)</f>
        <v>Clostridiaceae</v>
      </c>
      <c r="D64" s="20" t="str">
        <f>VLOOKUP(A64,'Table S6B'!A:E,4,FALSE)</f>
        <v>activated sludge of petroleum wastewater</v>
      </c>
      <c r="E64" s="20" t="str">
        <f>VLOOKUP(A64,'Table S6B'!A:E,5,FALSE)</f>
        <v>Environmental</v>
      </c>
      <c r="F64" s="20">
        <v>679</v>
      </c>
      <c r="G64" s="21">
        <v>0.98</v>
      </c>
      <c r="H64" s="20">
        <v>0</v>
      </c>
      <c r="I64" s="20">
        <v>77.430000000000007</v>
      </c>
      <c r="J64" s="20">
        <v>415</v>
      </c>
      <c r="K64" s="20" t="str">
        <f>HYPERLINK("https://www.ncbi.nlm.nih.gov/protein/WP_219779195.1?report=genbank&amp;log$=prottop&amp;blast_rank=52&amp;RID=AS4RWFEC013","WP_219779195.1")</f>
        <v>WP_219779195.1</v>
      </c>
      <c r="L64" s="20"/>
    </row>
    <row r="65" spans="1:12">
      <c r="A65" s="20" t="s">
        <v>516</v>
      </c>
      <c r="B65" s="20" t="str">
        <f>VLOOKUP(A65,'Table S6A'!A:C,2,FALSE)</f>
        <v>Actinomycetota</v>
      </c>
      <c r="C65" s="20" t="str">
        <f>VLOOKUP(A65,'Table S6A'!A:C,3,FALSE)</f>
        <v>Coriobacteriaceae</v>
      </c>
      <c r="D65" s="20" t="str">
        <f>VLOOKUP(A65,'Table S6B'!A:E,4,FALSE)</f>
        <v>human feces</v>
      </c>
      <c r="E65" s="20" t="str">
        <f>VLOOKUP(A65,'Table S6B'!A:E,5,FALSE)</f>
        <v>Gastrointestinal tract</v>
      </c>
      <c r="F65" s="20">
        <v>491</v>
      </c>
      <c r="G65" s="21">
        <v>0.98</v>
      </c>
      <c r="H65" s="22">
        <v>4.0000000000000001E-169</v>
      </c>
      <c r="I65" s="20">
        <v>56.76</v>
      </c>
      <c r="J65" s="20">
        <v>428</v>
      </c>
      <c r="K65" s="20" t="str">
        <f>HYPERLINK("https://www.ncbi.nlm.nih.gov/protein/NMF56329.1?report=genbank&amp;log$=prottop&amp;blast_rank=325&amp;RID=AS4RWFEC013","NMF56329.1")</f>
        <v>NMF56329.1</v>
      </c>
      <c r="L65" s="20"/>
    </row>
    <row r="66" spans="1:12">
      <c r="A66" s="20" t="s">
        <v>200</v>
      </c>
      <c r="B66" s="20" t="s">
        <v>420</v>
      </c>
      <c r="C66" s="20" t="s">
        <v>463</v>
      </c>
      <c r="D66" s="20" t="str">
        <f>VLOOKUP(A66,'Table S6B'!A:E,4,FALSE)</f>
        <v>human feces</v>
      </c>
      <c r="E66" s="20" t="str">
        <f>VLOOKUP(A66,'Table S6B'!A:E,5,FALSE)</f>
        <v>Gastrointestinal tract</v>
      </c>
      <c r="F66" s="20">
        <v>494</v>
      </c>
      <c r="G66" s="21">
        <v>0.97</v>
      </c>
      <c r="H66" s="22">
        <v>2E-170</v>
      </c>
      <c r="I66" s="20">
        <v>58.54</v>
      </c>
      <c r="J66" s="20">
        <v>425</v>
      </c>
      <c r="K66" s="20" t="str">
        <f>HYPERLINK("https://www.ncbi.nlm.nih.gov/protein/WP_161115177.1?report=genbank&amp;log$=prottop&amp;blast_rank=289&amp;RID=AS4RWFEC013","WP_161115177.1")</f>
        <v>WP_161115177.1</v>
      </c>
      <c r="L66" s="20"/>
    </row>
    <row r="67" spans="1:12">
      <c r="A67" s="20" t="s">
        <v>517</v>
      </c>
      <c r="B67" s="20" t="str">
        <f>VLOOKUP(A67,'Table S6A'!A:C,2,FALSE)</f>
        <v>Actinomycetota</v>
      </c>
      <c r="C67" s="20" t="str">
        <f>VLOOKUP(A67,'Table S6A'!A:C,3,FALSE)</f>
        <v>Coriobacteriaceae</v>
      </c>
      <c r="D67" s="20" t="str">
        <f>VLOOKUP(A67,'Table S6B'!A:E,4,FALSE)</f>
        <v>human feces</v>
      </c>
      <c r="E67" s="20" t="str">
        <f>VLOOKUP(A67,'Table S6B'!A:E,5,FALSE)</f>
        <v>Gastrointestinal tract</v>
      </c>
      <c r="F67" s="20">
        <v>492</v>
      </c>
      <c r="G67" s="21">
        <v>0.98</v>
      </c>
      <c r="H67" s="22">
        <v>1E-169</v>
      </c>
      <c r="I67" s="20">
        <v>56.52</v>
      </c>
      <c r="J67" s="20">
        <v>428</v>
      </c>
      <c r="K67" s="20" t="str">
        <f>HYPERLINK("https://www.ncbi.nlm.nih.gov/protein/WP_138377895.1?report=genbank&amp;log$=prottop&amp;blast_rank=307&amp;RID=AS4RWFEC013","WP_138377895.1")</f>
        <v>WP_138377895.1</v>
      </c>
      <c r="L67" s="20"/>
    </row>
    <row r="68" spans="1:12">
      <c r="A68" s="20" t="s">
        <v>518</v>
      </c>
      <c r="B68" s="20" t="str">
        <f>VLOOKUP(A68,'Table S6A'!A:C,2,FALSE)</f>
        <v>Actinomycetota</v>
      </c>
      <c r="C68" s="20" t="str">
        <f>VLOOKUP(A68,'Table S6A'!A:C,3,FALSE)</f>
        <v>Coriobacteriaceae</v>
      </c>
      <c r="D68" s="20" t="str">
        <f>VLOOKUP(A68,'Table S6B'!A:E,4,FALSE)</f>
        <v>human feces</v>
      </c>
      <c r="E68" s="20" t="str">
        <f>VLOOKUP(A68,'Table S6B'!A:E,5,FALSE)</f>
        <v>Gastrointestinal tract</v>
      </c>
      <c r="F68" s="20">
        <v>502</v>
      </c>
      <c r="G68" s="21">
        <v>0.98</v>
      </c>
      <c r="H68" s="22">
        <v>2.0000000000000001E-173</v>
      </c>
      <c r="I68" s="20">
        <v>58.64</v>
      </c>
      <c r="J68" s="20">
        <v>424</v>
      </c>
      <c r="K68" s="20" t="str">
        <f>HYPERLINK("https://www.ncbi.nlm.nih.gov/protein/HJG30622.1?report=genbank&amp;log$=prottop&amp;blast_rank=253&amp;RID=AS4RWFEC013","HJG30622.1")</f>
        <v>HJG30622.1</v>
      </c>
      <c r="L68" s="20"/>
    </row>
    <row r="69" spans="1:12">
      <c r="A69" s="20" t="s">
        <v>163</v>
      </c>
      <c r="B69" s="20" t="str">
        <f>VLOOKUP(A69,'Table S6A'!A:C,2,FALSE)</f>
        <v>Actinomycetota</v>
      </c>
      <c r="C69" s="20" t="str">
        <f>VLOOKUP(A69,'Table S6A'!A:C,3,FALSE)</f>
        <v>Coriobacteriaceae</v>
      </c>
      <c r="D69" s="20" t="str">
        <f>VLOOKUP(A69,'Table S6B'!A:E,4,FALSE)</f>
        <v>human feces</v>
      </c>
      <c r="E69" s="20" t="str">
        <f>VLOOKUP(A69,'Table S6B'!A:E,5,FALSE)</f>
        <v>Gastrointestinal tract</v>
      </c>
      <c r="F69" s="20">
        <v>499</v>
      </c>
      <c r="G69" s="21">
        <v>0.98</v>
      </c>
      <c r="H69" s="22">
        <v>2.9999999999999998E-172</v>
      </c>
      <c r="I69" s="20">
        <v>58.74</v>
      </c>
      <c r="J69" s="20">
        <v>425</v>
      </c>
      <c r="K69" s="20" t="str">
        <f>HYPERLINK("https://www.ncbi.nlm.nih.gov/protein/WP_118102402.1?report=genbank&amp;log$=prottop&amp;blast_rank=266&amp;RID=AS4RWFEC013","WP_118102402.1")</f>
        <v>WP_118102402.1</v>
      </c>
      <c r="L69" s="20"/>
    </row>
    <row r="70" spans="1:12">
      <c r="A70" s="20" t="s">
        <v>519</v>
      </c>
      <c r="B70" s="20" t="str">
        <f>VLOOKUP(A70,'Table S6A'!A:C,2,FALSE)</f>
        <v>Actinomycetota</v>
      </c>
      <c r="C70" s="20" t="str">
        <f>VLOOKUP(A70,'Table S6A'!A:C,3,FALSE)</f>
        <v>Coriobacteriaceae</v>
      </c>
      <c r="D70" s="20" t="str">
        <f>VLOOKUP(A70,'Table S6B'!A:E,4,FALSE)</f>
        <v>human feces</v>
      </c>
      <c r="E70" s="20" t="str">
        <f>VLOOKUP(A70,'Table S6B'!A:E,5,FALSE)</f>
        <v>Gastrointestinal tract</v>
      </c>
      <c r="F70" s="20">
        <v>471</v>
      </c>
      <c r="G70" s="21">
        <v>0.97</v>
      </c>
      <c r="H70" s="22">
        <v>4.0000000000000001E-161</v>
      </c>
      <c r="I70" s="20">
        <v>58.05</v>
      </c>
      <c r="J70" s="20">
        <v>425</v>
      </c>
      <c r="K70" s="20" t="str">
        <f>HYPERLINK("https://www.ncbi.nlm.nih.gov/protein/WP_072415032.1?report=genbank&amp;log$=prottop&amp;blast_rank=421&amp;RID=AS4RWFEC013","WP_072415032.1")</f>
        <v>WP_072415032.1</v>
      </c>
      <c r="L70" s="20"/>
    </row>
    <row r="71" spans="1:12">
      <c r="A71" s="20" t="s">
        <v>520</v>
      </c>
      <c r="B71" s="20" t="str">
        <f>VLOOKUP(A71,'Table S6A'!A:C,2,FALSE)</f>
        <v>Actinomycetota</v>
      </c>
      <c r="C71" s="20" t="str">
        <f>VLOOKUP(A71,'Table S6A'!A:C,3,FALSE)</f>
        <v>Coriobacteriaceae</v>
      </c>
      <c r="D71" s="20" t="str">
        <f>VLOOKUP(A71,'Table S6B'!A:E,4,FALSE)</f>
        <v>human feces</v>
      </c>
      <c r="E71" s="20" t="str">
        <f>VLOOKUP(A71,'Table S6B'!A:E,5,FALSE)</f>
        <v>Gastrointestinal tract</v>
      </c>
      <c r="F71" s="20">
        <v>488</v>
      </c>
      <c r="G71" s="21">
        <v>0.98</v>
      </c>
      <c r="H71" s="22">
        <v>5.9999999999999998E-168</v>
      </c>
      <c r="I71" s="20">
        <v>57.04</v>
      </c>
      <c r="J71" s="20">
        <v>425</v>
      </c>
      <c r="K71" s="20" t="str">
        <f>HYPERLINK("https://www.ncbi.nlm.nih.gov/protein/WP_102338201.1?report=genbank&amp;log$=prottop&amp;blast_rank=384&amp;RID=AS4RWFEC013","WP_102338201.1")</f>
        <v>WP_102338201.1</v>
      </c>
      <c r="L71" s="20"/>
    </row>
    <row r="72" spans="1:12">
      <c r="A72" s="20" t="s">
        <v>521</v>
      </c>
      <c r="B72" s="20" t="str">
        <f>VLOOKUP(A72,'Table S6A'!A:C,2,FALSE)</f>
        <v>Actinomycetota</v>
      </c>
      <c r="C72" s="20" t="str">
        <f>VLOOKUP(A72,'Table S6A'!A:C,3,FALSE)</f>
        <v>Coriobacteriaceae</v>
      </c>
      <c r="D72" s="20" t="str">
        <f>VLOOKUP(A72,'Table S6B'!A:E,4,FALSE)</f>
        <v>human feces</v>
      </c>
      <c r="E72" s="20" t="str">
        <f>VLOOKUP(A72,'Table S6B'!A:E,5,FALSE)</f>
        <v>Gastrointestinal tract</v>
      </c>
      <c r="F72" s="20">
        <v>493</v>
      </c>
      <c r="G72" s="21">
        <v>0.97</v>
      </c>
      <c r="H72" s="22">
        <v>5.0000000000000001E-170</v>
      </c>
      <c r="I72" s="20">
        <v>58.29</v>
      </c>
      <c r="J72" s="20">
        <v>425</v>
      </c>
      <c r="K72" s="20" t="str">
        <f>HYPERLINK("https://www.ncbi.nlm.nih.gov/protein/MBS5396342.1?report=genbank&amp;log$=prottop&amp;blast_rank=297&amp;RID=AS4RWFEC013","MBS5396342.1")</f>
        <v>MBS5396342.1</v>
      </c>
      <c r="L72" s="20"/>
    </row>
    <row r="73" spans="1:12">
      <c r="A73" s="20" t="s">
        <v>522</v>
      </c>
      <c r="B73" s="20" t="str">
        <f>VLOOKUP(A73,'Table S6A'!A:C,2,FALSE)</f>
        <v>Actinomycetota</v>
      </c>
      <c r="C73" s="20" t="str">
        <f>VLOOKUP(A73,'Table S6A'!A:C,3,FALSE)</f>
        <v>Coriobacteriaceae</v>
      </c>
      <c r="D73" s="20" t="str">
        <f>VLOOKUP(A73,'Table S6B'!A:E,4,FALSE)</f>
        <v>Industry</v>
      </c>
      <c r="E73" s="20" t="str">
        <f>VLOOKUP(A73,'Table S6B'!A:E,5,FALSE)</f>
        <v>Engineered</v>
      </c>
      <c r="F73" s="20">
        <v>491</v>
      </c>
      <c r="G73" s="21">
        <v>0.97</v>
      </c>
      <c r="H73" s="22">
        <v>4.0000000000000001E-169</v>
      </c>
      <c r="I73" s="20">
        <v>58.29</v>
      </c>
      <c r="J73" s="20">
        <v>425</v>
      </c>
      <c r="K73" s="20" t="str">
        <f>HYPERLINK("https://www.ncbi.nlm.nih.gov/protein/WP_035136749.1?report=genbank&amp;log$=prottop&amp;blast_rank=328&amp;RID=AS4RWFEC013","WP_035136749.1")</f>
        <v>WP_035136749.1</v>
      </c>
      <c r="L73" s="20"/>
    </row>
    <row r="74" spans="1:12">
      <c r="A74" s="20" t="s">
        <v>524</v>
      </c>
      <c r="B74" s="20" t="str">
        <f>VLOOKUP(A74,'Table S6A'!A:C,2,FALSE)</f>
        <v>Actinomycetota</v>
      </c>
      <c r="C74" s="20" t="str">
        <f>VLOOKUP(A74,'Table S6A'!A:C,3,FALSE)</f>
        <v>Coriobacteriaceae</v>
      </c>
      <c r="D74" s="20" t="str">
        <f>VLOOKUP(A74,'Table S6B'!A:E,4,FALSE)</f>
        <v>human feces</v>
      </c>
      <c r="E74" s="20" t="str">
        <f>VLOOKUP(A74,'Table S6B'!A:E,5,FALSE)</f>
        <v>Gastrointestinal tract</v>
      </c>
      <c r="F74" s="20">
        <v>490</v>
      </c>
      <c r="G74" s="21">
        <v>0.97</v>
      </c>
      <c r="H74" s="22">
        <v>7.0000000000000006E-169</v>
      </c>
      <c r="I74" s="20">
        <v>57.8</v>
      </c>
      <c r="J74" s="20">
        <v>425</v>
      </c>
      <c r="K74" s="20" t="str">
        <f>HYPERLINK("https://www.ncbi.nlm.nih.gov/protein/WP_118256856.1?report=genbank&amp;log$=prottop&amp;blast_rank=349&amp;RID=AS4RWFEC013","WP_118256856.1")</f>
        <v>WP_118256856.1</v>
      </c>
      <c r="L74" s="20"/>
    </row>
    <row r="75" spans="1:12">
      <c r="A75" s="20" t="s">
        <v>525</v>
      </c>
      <c r="B75" s="20" t="str">
        <f>VLOOKUP(A75,'Table S6A'!A:C,2,FALSE)</f>
        <v>Actinomycetota</v>
      </c>
      <c r="C75" s="20" t="str">
        <f>VLOOKUP(A75,'Table S6A'!A:C,3,FALSE)</f>
        <v>Coriobacteriaceae</v>
      </c>
      <c r="D75" s="20" t="str">
        <f>VLOOKUP(A75,'Table S6B'!A:E,4,FALSE)</f>
        <v>human feces</v>
      </c>
      <c r="E75" s="20" t="str">
        <f>VLOOKUP(A75,'Table S6B'!A:E,5,FALSE)</f>
        <v>Gastrointestinal tract</v>
      </c>
      <c r="F75" s="20">
        <v>498</v>
      </c>
      <c r="G75" s="21">
        <v>0.98</v>
      </c>
      <c r="H75" s="22">
        <v>4.9999999999999999E-172</v>
      </c>
      <c r="I75" s="20">
        <v>58.74</v>
      </c>
      <c r="J75" s="20">
        <v>425</v>
      </c>
      <c r="K75" s="20" t="str">
        <f>HYPERLINK("https://www.ncbi.nlm.nih.gov/protein/WP_118652856.1?report=genbank&amp;log$=prottop&amp;blast_rank=272&amp;RID=AS4RWFEC013","WP_118652856.1")</f>
        <v>WP_118652856.1</v>
      </c>
      <c r="L75" s="20"/>
    </row>
    <row r="76" spans="1:12">
      <c r="A76" s="20" t="s">
        <v>526</v>
      </c>
      <c r="B76" s="20" t="str">
        <f>VLOOKUP(A76,'Table S6A'!A:C,2,FALSE)</f>
        <v>Actinomycetota</v>
      </c>
      <c r="C76" s="20" t="str">
        <f>VLOOKUP(A76,'Table S6A'!A:C,3,FALSE)</f>
        <v>Coriobacteriaceae</v>
      </c>
      <c r="D76" s="20" t="str">
        <f>VLOOKUP(A76,'Table S6B'!A:E,4,FALSE)</f>
        <v>human feces</v>
      </c>
      <c r="E76" s="20" t="str">
        <f>VLOOKUP(A76,'Table S6B'!A:E,5,FALSE)</f>
        <v>Gastrointestinal tract</v>
      </c>
      <c r="F76" s="20">
        <v>489</v>
      </c>
      <c r="G76" s="21">
        <v>0.97</v>
      </c>
      <c r="H76" s="22">
        <v>1E-168</v>
      </c>
      <c r="I76" s="20">
        <v>57.8</v>
      </c>
      <c r="J76" s="20">
        <v>425</v>
      </c>
      <c r="K76" s="20" t="str">
        <f>HYPERLINK("https://www.ncbi.nlm.nih.gov/protein/WP_117776755.1?report=genbank&amp;log$=prottop&amp;blast_rank=367&amp;RID=AS4RWFEC013","WP_117776755.1")</f>
        <v>WP_117776755.1</v>
      </c>
      <c r="L76" s="20"/>
    </row>
    <row r="77" spans="1:12">
      <c r="A77" s="20" t="s">
        <v>527</v>
      </c>
      <c r="B77" s="20" t="str">
        <f>VLOOKUP(A77,'Table S6A'!A:C,2,FALSE)</f>
        <v>Actinomycetota</v>
      </c>
      <c r="C77" s="20" t="str">
        <f>VLOOKUP(A77,'Table S6A'!A:C,3,FALSE)</f>
        <v>Coriobacteriaceae</v>
      </c>
      <c r="D77" s="20" t="str">
        <f>VLOOKUP(A77,'Table S6B'!A:E,4,FALSE)</f>
        <v>human feces</v>
      </c>
      <c r="E77" s="20" t="str">
        <f>VLOOKUP(A77,'Table S6B'!A:E,5,FALSE)</f>
        <v>Gastrointestinal tract</v>
      </c>
      <c r="F77" s="20">
        <v>490</v>
      </c>
      <c r="G77" s="21">
        <v>0.97</v>
      </c>
      <c r="H77" s="22">
        <v>8.9999999999999997E-169</v>
      </c>
      <c r="I77" s="20">
        <v>57.8</v>
      </c>
      <c r="J77" s="20">
        <v>425</v>
      </c>
      <c r="K77" s="20" t="str">
        <f>HYPERLINK("https://www.ncbi.nlm.nih.gov/protein/WP_117774316.1?report=genbank&amp;log$=prottop&amp;blast_rank=355&amp;RID=AS4RWFEC013","WP_117774316.1")</f>
        <v>WP_117774316.1</v>
      </c>
      <c r="L77" s="20"/>
    </row>
    <row r="78" spans="1:12">
      <c r="A78" s="20" t="s">
        <v>528</v>
      </c>
      <c r="B78" s="20" t="str">
        <f>VLOOKUP(A78,'Table S6A'!A:C,2,FALSE)</f>
        <v>Actinomycetota</v>
      </c>
      <c r="C78" s="20" t="str">
        <f>VLOOKUP(A78,'Table S6A'!A:C,3,FALSE)</f>
        <v>Coriobacteriaceae</v>
      </c>
      <c r="D78" s="20" t="str">
        <f>VLOOKUP(A78,'Table S6B'!A:E,4,FALSE)</f>
        <v>human feces</v>
      </c>
      <c r="E78" s="20" t="str">
        <f>VLOOKUP(A78,'Table S6B'!A:E,5,FALSE)</f>
        <v>Gastrointestinal tract</v>
      </c>
      <c r="F78" s="20">
        <v>490</v>
      </c>
      <c r="G78" s="21">
        <v>0.97</v>
      </c>
      <c r="H78" s="22">
        <v>8.9999999999999997E-169</v>
      </c>
      <c r="I78" s="20">
        <v>58.05</v>
      </c>
      <c r="J78" s="20">
        <v>425</v>
      </c>
      <c r="K78" s="20" t="str">
        <f>HYPERLINK("https://www.ncbi.nlm.nih.gov/protein/WP_117848795.1?report=genbank&amp;log$=prottop&amp;blast_rank=357&amp;RID=AS4RWFEC013","WP_117848795.1")</f>
        <v>WP_117848795.1</v>
      </c>
      <c r="L78" s="20"/>
    </row>
    <row r="79" spans="1:12">
      <c r="A79" s="20" t="s">
        <v>529</v>
      </c>
      <c r="B79" s="20" t="str">
        <f>VLOOKUP(A79,'Table S6A'!A:C,2,FALSE)</f>
        <v>Actinomycetota</v>
      </c>
      <c r="C79" s="20" t="str">
        <f>VLOOKUP(A79,'Table S6A'!A:C,3,FALSE)</f>
        <v>Coriobacteriaceae</v>
      </c>
      <c r="D79" s="20" t="str">
        <f>VLOOKUP(A79,'Table S6B'!A:E,4,FALSE)</f>
        <v>human feces</v>
      </c>
      <c r="E79" s="20" t="str">
        <f>VLOOKUP(A79,'Table S6B'!A:E,5,FALSE)</f>
        <v>Gastrointestinal tract</v>
      </c>
      <c r="F79" s="20">
        <v>490</v>
      </c>
      <c r="G79" s="21">
        <v>0.97</v>
      </c>
      <c r="H79" s="22">
        <v>1E-168</v>
      </c>
      <c r="I79" s="20">
        <v>58.05</v>
      </c>
      <c r="J79" s="20">
        <v>425</v>
      </c>
      <c r="K79" s="20" t="str">
        <f>HYPERLINK("https://www.ncbi.nlm.nih.gov/protein/WP_118405886.1?report=genbank&amp;log$=prottop&amp;blast_rank=361&amp;RID=AS4RWFEC013","WP_118405886.1")</f>
        <v>WP_118405886.1</v>
      </c>
      <c r="L79" s="20"/>
    </row>
    <row r="80" spans="1:12">
      <c r="A80" s="20" t="s">
        <v>530</v>
      </c>
      <c r="B80" s="20" t="str">
        <f>VLOOKUP(A80,'Table S6A'!A:C,2,FALSE)</f>
        <v>Actinomycetota</v>
      </c>
      <c r="C80" s="20" t="str">
        <f>VLOOKUP(A80,'Table S6A'!A:C,3,FALSE)</f>
        <v>Coriobacteriaceae</v>
      </c>
      <c r="D80" s="20" t="str">
        <f>VLOOKUP(A80,'Table S6B'!A:E,4,FALSE)</f>
        <v>human feces</v>
      </c>
      <c r="E80" s="20" t="str">
        <f>VLOOKUP(A80,'Table S6B'!A:E,5,FALSE)</f>
        <v>Gastrointestinal tract</v>
      </c>
      <c r="F80" s="20">
        <v>489</v>
      </c>
      <c r="G80" s="21">
        <v>0.97</v>
      </c>
      <c r="H80" s="22">
        <v>2.0000000000000001E-168</v>
      </c>
      <c r="I80" s="20">
        <v>57.56</v>
      </c>
      <c r="J80" s="20">
        <v>425</v>
      </c>
      <c r="K80" s="20" t="str">
        <f>HYPERLINK("https://www.ncbi.nlm.nih.gov/protein/WP_118238167.1?report=genbank&amp;log$=prottop&amp;blast_rank=369&amp;RID=AS4RWFEC013","WP_118238167.1")</f>
        <v>WP_118238167.1</v>
      </c>
      <c r="L80" s="20"/>
    </row>
    <row r="81" spans="1:12">
      <c r="A81" s="20" t="s">
        <v>531</v>
      </c>
      <c r="B81" s="20" t="str">
        <f>VLOOKUP(A81,'Table S6A'!A:C,2,FALSE)</f>
        <v>Actinomycetota</v>
      </c>
      <c r="C81" s="20" t="str">
        <f>VLOOKUP(A81,'Table S6A'!A:C,3,FALSE)</f>
        <v>Coriobacteriaceae</v>
      </c>
      <c r="D81" s="20" t="str">
        <f>VLOOKUP(A81,'Table S6B'!A:E,4,FALSE)</f>
        <v>human feces</v>
      </c>
      <c r="E81" s="20" t="str">
        <f>VLOOKUP(A81,'Table S6B'!A:E,5,FALSE)</f>
        <v>Gastrointestinal tract</v>
      </c>
      <c r="F81" s="20">
        <v>491</v>
      </c>
      <c r="G81" s="21">
        <v>0.97</v>
      </c>
      <c r="H81" s="22">
        <v>4.0000000000000001E-169</v>
      </c>
      <c r="I81" s="20">
        <v>57.8</v>
      </c>
      <c r="J81" s="20">
        <v>425</v>
      </c>
      <c r="K81" s="20" t="str">
        <f>HYPERLINK("https://www.ncbi.nlm.nih.gov/protein/WP_118267727.1?report=genbank&amp;log$=prottop&amp;blast_rank=326&amp;RID=AS4RWFEC013","WP_118267727.1")</f>
        <v>WP_118267727.1</v>
      </c>
      <c r="L81" s="20"/>
    </row>
    <row r="82" spans="1:12">
      <c r="A82" s="20" t="s">
        <v>532</v>
      </c>
      <c r="B82" s="20" t="str">
        <f>VLOOKUP(A82,'Table S6A'!A:C,2,FALSE)</f>
        <v>Actinomycetota</v>
      </c>
      <c r="C82" s="20" t="str">
        <f>VLOOKUP(A82,'Table S6A'!A:C,3,FALSE)</f>
        <v>Coriobacteriaceae</v>
      </c>
      <c r="D82" s="20" t="str">
        <f>VLOOKUP(A82,'Table S6B'!A:E,4,FALSE)</f>
        <v>human feces</v>
      </c>
      <c r="E82" s="20" t="str">
        <f>VLOOKUP(A82,'Table S6B'!A:E,5,FALSE)</f>
        <v>Gastrointestinal tract</v>
      </c>
      <c r="F82" s="20">
        <v>489</v>
      </c>
      <c r="G82" s="21">
        <v>0.97</v>
      </c>
      <c r="H82" s="22">
        <v>2.9999999999999999E-168</v>
      </c>
      <c r="I82" s="20">
        <v>58.05</v>
      </c>
      <c r="J82" s="20">
        <v>425</v>
      </c>
      <c r="K82" s="20" t="str">
        <f>HYPERLINK("https://www.ncbi.nlm.nih.gov/protein/WP_118098116.1?report=genbank&amp;log$=prottop&amp;blast_rank=380&amp;RID=AS4RWFEC013","WP_118098116.1")</f>
        <v>WP_118098116.1</v>
      </c>
      <c r="L82" s="20"/>
    </row>
    <row r="83" spans="1:12">
      <c r="A83" s="20" t="s">
        <v>533</v>
      </c>
      <c r="B83" s="20" t="str">
        <f>VLOOKUP(A83,'Table S6A'!A:C,2,FALSE)</f>
        <v>Actinomycetota</v>
      </c>
      <c r="C83" s="20" t="str">
        <f>VLOOKUP(A83,'Table S6A'!A:C,3,FALSE)</f>
        <v>Coriobacteriaceae</v>
      </c>
      <c r="D83" s="20" t="str">
        <f>VLOOKUP(A83,'Table S6B'!A:E,4,FALSE)</f>
        <v>human feces</v>
      </c>
      <c r="E83" s="20" t="str">
        <f>VLOOKUP(A83,'Table S6B'!A:E,5,FALSE)</f>
        <v>Gastrointestinal tract</v>
      </c>
      <c r="F83" s="20">
        <v>491</v>
      </c>
      <c r="G83" s="21">
        <v>0.97</v>
      </c>
      <c r="H83" s="22">
        <v>2E-169</v>
      </c>
      <c r="I83" s="20">
        <v>58.29</v>
      </c>
      <c r="J83" s="20">
        <v>425</v>
      </c>
      <c r="K83" s="20" t="str">
        <f>HYPERLINK("https://www.ncbi.nlm.nih.gov/protein/WP_118066200.1?report=genbank&amp;log$=prottop&amp;blast_rank=315&amp;RID=AS4RWFEC013","WP_118066200.1")</f>
        <v>WP_118066200.1</v>
      </c>
      <c r="L83" s="20"/>
    </row>
    <row r="84" spans="1:12">
      <c r="A84" s="20" t="s">
        <v>534</v>
      </c>
      <c r="B84" s="20" t="str">
        <f>VLOOKUP(A84,'Table S6A'!A:C,2,FALSE)</f>
        <v>Actinomycetota</v>
      </c>
      <c r="C84" s="20" t="str">
        <f>VLOOKUP(A84,'Table S6A'!A:C,3,FALSE)</f>
        <v>Coriobacteriaceae</v>
      </c>
      <c r="D84" s="20" t="str">
        <f>VLOOKUP(A84,'Table S6B'!A:E,4,FALSE)</f>
        <v>human feces</v>
      </c>
      <c r="E84" s="20" t="str">
        <f>VLOOKUP(A84,'Table S6B'!A:E,5,FALSE)</f>
        <v>Gastrointestinal tract</v>
      </c>
      <c r="F84" s="20">
        <v>489</v>
      </c>
      <c r="G84" s="21">
        <v>0.97</v>
      </c>
      <c r="H84" s="22">
        <v>2.0000000000000001E-168</v>
      </c>
      <c r="I84" s="20">
        <v>57.8</v>
      </c>
      <c r="J84" s="20">
        <v>425</v>
      </c>
      <c r="K84" s="20" t="str">
        <f>HYPERLINK("https://www.ncbi.nlm.nih.gov/protein/WP_117786916.1?report=genbank&amp;log$=prottop&amp;blast_rank=371&amp;RID=AS4RWFEC013","WP_117786916.1")</f>
        <v>WP_117786916.1</v>
      </c>
      <c r="L84" s="20"/>
    </row>
    <row r="85" spans="1:12">
      <c r="A85" s="20" t="s">
        <v>535</v>
      </c>
      <c r="B85" s="20" t="str">
        <f>VLOOKUP(A85,'Table S6A'!A:C,2,FALSE)</f>
        <v>Actinomycetota</v>
      </c>
      <c r="C85" s="20" t="str">
        <f>VLOOKUP(A85,'Table S6A'!A:C,3,FALSE)</f>
        <v>Coriobacteriaceae</v>
      </c>
      <c r="D85" s="20" t="str">
        <f>VLOOKUP(A85,'Table S6B'!A:E,4,FALSE)</f>
        <v>human feces</v>
      </c>
      <c r="E85" s="20" t="str">
        <f>VLOOKUP(A85,'Table S6B'!A:E,5,FALSE)</f>
        <v>Gastrointestinal tract</v>
      </c>
      <c r="F85" s="20">
        <v>465</v>
      </c>
      <c r="G85" s="21">
        <v>0.97</v>
      </c>
      <c r="H85" s="22">
        <v>5.0000000000000003E-159</v>
      </c>
      <c r="I85" s="20">
        <v>57.32</v>
      </c>
      <c r="J85" s="20">
        <v>425</v>
      </c>
      <c r="K85" s="20" t="str">
        <f>HYPERLINK("https://www.ncbi.nlm.nih.gov/protein/WP_117800765.1?report=genbank&amp;log$=prottop&amp;blast_rank=427&amp;RID=AS4RWFEC013","WP_117800765.1")</f>
        <v>WP_117800765.1</v>
      </c>
      <c r="L85" s="20"/>
    </row>
    <row r="86" spans="1:12">
      <c r="A86" s="20" t="s">
        <v>536</v>
      </c>
      <c r="B86" s="20" t="str">
        <f>VLOOKUP(A86,'Table S6A'!A:C,2,FALSE)</f>
        <v>Actinomycetota</v>
      </c>
      <c r="C86" s="20" t="str">
        <f>VLOOKUP(A86,'Table S6A'!A:C,3,FALSE)</f>
        <v>Coriobacteriaceae</v>
      </c>
      <c r="D86" s="20" t="str">
        <f>VLOOKUP(A86,'Table S6B'!A:E,4,FALSE)</f>
        <v>human feces</v>
      </c>
      <c r="E86" s="20" t="str">
        <f>VLOOKUP(A86,'Table S6B'!A:E,5,FALSE)</f>
        <v>Gastrointestinal tract</v>
      </c>
      <c r="F86" s="20">
        <v>491</v>
      </c>
      <c r="G86" s="21">
        <v>0.97</v>
      </c>
      <c r="H86" s="22">
        <v>4.0000000000000001E-169</v>
      </c>
      <c r="I86" s="20">
        <v>58.05</v>
      </c>
      <c r="J86" s="20">
        <v>425</v>
      </c>
      <c r="K86" s="20" t="str">
        <f>HYPERLINK("https://www.ncbi.nlm.nih.gov/protein/WP_117790293.1?report=genbank&amp;log$=prottop&amp;blast_rank=323&amp;RID=AS4RWFEC013","WP_117790293.1")</f>
        <v>WP_117790293.1</v>
      </c>
      <c r="L86" s="20"/>
    </row>
    <row r="87" spans="1:12">
      <c r="A87" s="20" t="s">
        <v>537</v>
      </c>
      <c r="B87" s="20" t="str">
        <f>VLOOKUP(A87,'Table S6A'!A:C,2,FALSE)</f>
        <v>Actinomycetota</v>
      </c>
      <c r="C87" s="20" t="str">
        <f>VLOOKUP(A87,'Table S6A'!A:C,3,FALSE)</f>
        <v>Coriobacteriaceae</v>
      </c>
      <c r="D87" s="20" t="str">
        <f>VLOOKUP(A87,'Table S6B'!A:E,4,FALSE)</f>
        <v>chicken gut anaerobes</v>
      </c>
      <c r="E87" s="20" t="str">
        <f>VLOOKUP(A87,'Table S6B'!A:E,5,FALSE)</f>
        <v>Gastrointestinal tract</v>
      </c>
      <c r="F87" s="20">
        <v>505</v>
      </c>
      <c r="G87" s="21">
        <v>0.98</v>
      </c>
      <c r="H87" s="22">
        <v>1E-174</v>
      </c>
      <c r="I87" s="20">
        <v>59.66</v>
      </c>
      <c r="J87" s="20">
        <v>427</v>
      </c>
      <c r="K87" s="20" t="str">
        <f>HYPERLINK("https://www.ncbi.nlm.nih.gov/protein/WP_087409823.1?report=genbank&amp;log$=prottop&amp;blast_rank=245&amp;RID=AS4RWFEC013","WP_087409823.1")</f>
        <v>WP_087409823.1</v>
      </c>
      <c r="L87" s="20"/>
    </row>
    <row r="88" spans="1:12">
      <c r="A88" s="20" t="s">
        <v>539</v>
      </c>
      <c r="B88" s="20" t="str">
        <f>VLOOKUP(A88,'Table S6A'!A:C,2,FALSE)</f>
        <v>Actinomycetota</v>
      </c>
      <c r="C88" s="20" t="str">
        <f>VLOOKUP(A88,'Table S6A'!A:C,3,FALSE)</f>
        <v>Coriobacteriaceae</v>
      </c>
      <c r="D88" s="20" t="str">
        <f>VLOOKUP(A88,'Table S6B'!A:E,4,FALSE)</f>
        <v>human feces</v>
      </c>
      <c r="E88" s="20" t="str">
        <f>VLOOKUP(A88,'Table S6B'!A:E,5,FALSE)</f>
        <v>Gastrointestinal tract</v>
      </c>
      <c r="F88" s="20">
        <v>492</v>
      </c>
      <c r="G88" s="21">
        <v>0.97</v>
      </c>
      <c r="H88" s="22">
        <v>2E-169</v>
      </c>
      <c r="I88" s="20">
        <v>58.29</v>
      </c>
      <c r="J88" s="20">
        <v>425</v>
      </c>
      <c r="K88" s="20" t="str">
        <f>HYPERLINK("https://www.ncbi.nlm.nih.gov/protein/CDA35923.1?report=genbank&amp;log$=prottop&amp;blast_rank=312&amp;RID=AS4RWFEC013","CDA35923.1")</f>
        <v>CDA35923.1</v>
      </c>
      <c r="L88" s="20"/>
    </row>
    <row r="89" spans="1:12">
      <c r="A89" s="20" t="s">
        <v>540</v>
      </c>
      <c r="B89" s="20" t="str">
        <f>VLOOKUP(A89,'Table S6A'!A:C,2,FALSE)</f>
        <v>Actinomycetota</v>
      </c>
      <c r="C89" s="20" t="str">
        <f>VLOOKUP(A89,'Table S6A'!A:C,3,FALSE)</f>
        <v>Coriobacteriaceae</v>
      </c>
      <c r="D89" s="20" t="str">
        <f>VLOOKUP(A89,'Table S6B'!A:E,4,FALSE)</f>
        <v>human feces</v>
      </c>
      <c r="E89" s="20" t="str">
        <f>VLOOKUP(A89,'Table S6B'!A:E,5,FALSE)</f>
        <v>Gastrointestinal tract</v>
      </c>
      <c r="F89" s="20">
        <v>489</v>
      </c>
      <c r="G89" s="21">
        <v>0.98</v>
      </c>
      <c r="H89" s="22">
        <v>2.9999999999999999E-168</v>
      </c>
      <c r="I89" s="20">
        <v>56.04</v>
      </c>
      <c r="J89" s="20">
        <v>428</v>
      </c>
      <c r="K89" s="20" t="str">
        <f>HYPERLINK("https://www.ncbi.nlm.nih.gov/protein/CDD84350.1?report=genbank&amp;log$=prottop&amp;blast_rank=379&amp;RID=AS4RWFEC013","CDD84350.1")</f>
        <v>CDD84350.1</v>
      </c>
      <c r="L89" s="20"/>
    </row>
    <row r="90" spans="1:12">
      <c r="A90" s="20" t="s">
        <v>541</v>
      </c>
      <c r="B90" s="20" t="str">
        <f>VLOOKUP(A90,'Table S6A'!A:C,2,FALSE)</f>
        <v>Actinomycetota</v>
      </c>
      <c r="C90" s="20" t="str">
        <f>VLOOKUP(A90,'Table S6A'!A:C,3,FALSE)</f>
        <v>Coriobacteriaceae</v>
      </c>
      <c r="D90" s="20" t="str">
        <f>VLOOKUP(A90,'Table S6B'!A:E,4,FALSE)</f>
        <v>human feces</v>
      </c>
      <c r="E90" s="20" t="str">
        <f>VLOOKUP(A90,'Table S6B'!A:E,5,FALSE)</f>
        <v>Gastrointestinal tract</v>
      </c>
      <c r="F90" s="20">
        <v>490</v>
      </c>
      <c r="G90" s="21">
        <v>0.97</v>
      </c>
      <c r="H90" s="22">
        <v>7.0000000000000006E-169</v>
      </c>
      <c r="I90" s="20">
        <v>57.8</v>
      </c>
      <c r="J90" s="20">
        <v>425</v>
      </c>
      <c r="K90" s="20" t="str">
        <f>HYPERLINK("https://www.ncbi.nlm.nih.gov/protein/WP_117806056.1?report=genbank&amp;log$=prottop&amp;blast_rank=348&amp;RID=AS4RWFEC013","WP_117806056.1")</f>
        <v>WP_117806056.1</v>
      </c>
      <c r="L90" s="20"/>
    </row>
    <row r="91" spans="1:12">
      <c r="A91" s="20" t="s">
        <v>542</v>
      </c>
      <c r="B91" s="20" t="str">
        <f>VLOOKUP(A91,'Table S6A'!A:C,2,FALSE)</f>
        <v>Actinomycetota</v>
      </c>
      <c r="C91" s="20" t="str">
        <f>VLOOKUP(A91,'Table S6A'!A:C,3,FALSE)</f>
        <v>Coriobacteriaceae</v>
      </c>
      <c r="D91" s="20" t="str">
        <f>VLOOKUP(A91,'Table S6B'!A:E,4,FALSE)</f>
        <v>human feces</v>
      </c>
      <c r="E91" s="20" t="str">
        <f>VLOOKUP(A91,'Table S6B'!A:E,5,FALSE)</f>
        <v>Gastrointestinal tract</v>
      </c>
      <c r="F91" s="20">
        <v>489</v>
      </c>
      <c r="G91" s="21">
        <v>0.97</v>
      </c>
      <c r="H91" s="22">
        <v>2.0000000000000001E-168</v>
      </c>
      <c r="I91" s="20">
        <v>57.56</v>
      </c>
      <c r="J91" s="20">
        <v>425</v>
      </c>
      <c r="K91" s="20" t="str">
        <f>HYPERLINK("https://www.ncbi.nlm.nih.gov/protein/WP_117736886.1?report=genbank&amp;log$=prottop&amp;blast_rank=374&amp;RID=AS4RWFEC013","WP_117736886.1")</f>
        <v>WP_117736886.1</v>
      </c>
      <c r="L91" s="20"/>
    </row>
    <row r="92" spans="1:12">
      <c r="A92" s="20" t="s">
        <v>543</v>
      </c>
      <c r="B92" s="20" t="str">
        <f>VLOOKUP(A92,'Table S6A'!A:C,2,FALSE)</f>
        <v>Actinomycetota</v>
      </c>
      <c r="C92" s="20" t="str">
        <f>VLOOKUP(A92,'Table S6A'!A:C,3,FALSE)</f>
        <v>Coriobacteriaceae</v>
      </c>
      <c r="D92" s="20" t="str">
        <f>VLOOKUP(A92,'Table S6B'!A:E,4,FALSE)</f>
        <v>human feces</v>
      </c>
      <c r="E92" s="20" t="str">
        <f>VLOOKUP(A92,'Table S6B'!A:E,5,FALSE)</f>
        <v>Gastrointestinal tract</v>
      </c>
      <c r="F92" s="20">
        <v>491</v>
      </c>
      <c r="G92" s="21">
        <v>0.97</v>
      </c>
      <c r="H92" s="22">
        <v>5.0000000000000002E-169</v>
      </c>
      <c r="I92" s="20">
        <v>58.05</v>
      </c>
      <c r="J92" s="20">
        <v>425</v>
      </c>
      <c r="K92" s="20" t="str">
        <f>HYPERLINK("https://www.ncbi.nlm.nih.gov/protein/WP_117716145.1?report=genbank&amp;log$=prottop&amp;blast_rank=337&amp;RID=AS4RWFEC013","WP_117716145.1")</f>
        <v>WP_117716145.1</v>
      </c>
      <c r="L92" s="20"/>
    </row>
    <row r="93" spans="1:12">
      <c r="A93" s="20" t="s">
        <v>544</v>
      </c>
      <c r="B93" s="20" t="str">
        <f>VLOOKUP(A93,'Table S6A'!A:C,2,FALSE)</f>
        <v>Actinomycetota</v>
      </c>
      <c r="C93" s="20" t="str">
        <f>VLOOKUP(A93,'Table S6A'!A:C,3,FALSE)</f>
        <v>Coriobacteriaceae</v>
      </c>
      <c r="D93" s="20" t="str">
        <f>VLOOKUP(A93,'Table S6B'!A:E,4,FALSE)</f>
        <v>human feces</v>
      </c>
      <c r="E93" s="20" t="str">
        <f>VLOOKUP(A93,'Table S6B'!A:E,5,FALSE)</f>
        <v>Gastrointestinal tract</v>
      </c>
      <c r="F93" s="20">
        <v>488</v>
      </c>
      <c r="G93" s="21">
        <v>0.97</v>
      </c>
      <c r="H93" s="22">
        <v>9.0000000000000002E-168</v>
      </c>
      <c r="I93" s="20">
        <v>57.32</v>
      </c>
      <c r="J93" s="20">
        <v>425</v>
      </c>
      <c r="K93" s="20" t="str">
        <f>HYPERLINK("https://www.ncbi.nlm.nih.gov/protein/WP_117638137.1?report=genbank&amp;log$=prottop&amp;blast_rank=387&amp;RID=AS4RWFEC013","WP_117638137.1")</f>
        <v>WP_117638137.1</v>
      </c>
      <c r="L93" s="20"/>
    </row>
    <row r="94" spans="1:12">
      <c r="A94" s="20" t="s">
        <v>545</v>
      </c>
      <c r="B94" s="20" t="str">
        <f>VLOOKUP(A94,'Table S6A'!A:C,2,FALSE)</f>
        <v>Actinomycetota</v>
      </c>
      <c r="C94" s="20" t="str">
        <f>VLOOKUP(A94,'Table S6A'!A:C,3,FALSE)</f>
        <v>Coriobacteriaceae</v>
      </c>
      <c r="D94" s="20" t="str">
        <f>VLOOKUP(A94,'Table S6B'!A:E,4,FALSE)</f>
        <v>unknown</v>
      </c>
      <c r="E94" s="20">
        <f>VLOOKUP(A94,'Table S6B'!A:E,5,FALSE)</f>
        <v>0</v>
      </c>
      <c r="F94" s="20">
        <v>494</v>
      </c>
      <c r="G94" s="21">
        <v>0.98</v>
      </c>
      <c r="H94" s="22">
        <v>2E-170</v>
      </c>
      <c r="I94" s="20">
        <v>58.21</v>
      </c>
      <c r="J94" s="20">
        <v>428</v>
      </c>
      <c r="K94" s="20" t="str">
        <f>HYPERLINK("https://www.ncbi.nlm.nih.gov/protein/WP_216279102.1?report=genbank&amp;log$=prottop&amp;blast_rank=291&amp;RID=AS4RWFEC013","WP_216279102.1")</f>
        <v>WP_216279102.1</v>
      </c>
      <c r="L94" s="20"/>
    </row>
    <row r="95" spans="1:12">
      <c r="A95" s="20" t="s">
        <v>546</v>
      </c>
      <c r="B95" s="20" t="str">
        <f>VLOOKUP(A95,'Table S6A'!A:C,2,FALSE)</f>
        <v>Actinomycetota</v>
      </c>
      <c r="C95" s="20" t="str">
        <f>VLOOKUP(A95,'Table S6A'!A:C,3,FALSE)</f>
        <v>Coriobacteriaceae</v>
      </c>
      <c r="D95" s="20" t="str">
        <f>VLOOKUP(A95,'Table S6B'!A:E,4,FALSE)</f>
        <v>human feces</v>
      </c>
      <c r="E95" s="20" t="str">
        <f>VLOOKUP(A95,'Table S6B'!A:E,5,FALSE)</f>
        <v>Gastrointestinal tract</v>
      </c>
      <c r="F95" s="20">
        <v>501</v>
      </c>
      <c r="G95" s="21">
        <v>0.98</v>
      </c>
      <c r="H95" s="22">
        <v>6.0000000000000002E-173</v>
      </c>
      <c r="I95" s="20">
        <v>59.08</v>
      </c>
      <c r="J95" s="20">
        <v>425</v>
      </c>
      <c r="K95" s="20" t="str">
        <f>HYPERLINK("https://www.ncbi.nlm.nih.gov/protein/WP_276672383.1?report=genbank&amp;log$=prottop&amp;blast_rank=260&amp;RID=AS4RWFEC013","WP_276672383.1")</f>
        <v>WP_276672383.1</v>
      </c>
      <c r="L95" s="20"/>
    </row>
    <row r="96" spans="1:12">
      <c r="A96" s="20" t="s">
        <v>547</v>
      </c>
      <c r="B96" s="20" t="str">
        <f>VLOOKUP(A96,'Table S6A'!A:C,2,FALSE)</f>
        <v>Actinomycetota</v>
      </c>
      <c r="C96" s="20" t="str">
        <f>VLOOKUP(A96,'Table S6A'!A:C,3,FALSE)</f>
        <v>Coriobacteriaceae</v>
      </c>
      <c r="D96" s="20" t="str">
        <f>VLOOKUP(A96,'Table S6B'!A:E,4,FALSE)</f>
        <v>human feces</v>
      </c>
      <c r="E96" s="20" t="str">
        <f>VLOOKUP(A96,'Table S6B'!A:E,5,FALSE)</f>
        <v>Gastrointestinal tract</v>
      </c>
      <c r="F96" s="20">
        <v>500</v>
      </c>
      <c r="G96" s="21">
        <v>0.97</v>
      </c>
      <c r="H96" s="22">
        <v>1E-172</v>
      </c>
      <c r="I96" s="20">
        <v>58.68</v>
      </c>
      <c r="J96" s="20">
        <v>424</v>
      </c>
      <c r="K96" s="20" t="str">
        <f>HYPERLINK("https://www.ncbi.nlm.nih.gov/protein/WP_204616144.1?report=genbank&amp;log$=prottop&amp;blast_rank=262&amp;RID=AS4RWFEC013","WP_204616144.1")</f>
        <v>WP_204616144.1</v>
      </c>
      <c r="L96" s="20"/>
    </row>
    <row r="97" spans="1:12">
      <c r="A97" s="20" t="s">
        <v>548</v>
      </c>
      <c r="B97" s="20" t="str">
        <f>VLOOKUP(A97,'Table S6A'!A:C,2,FALSE)</f>
        <v>Actinomycetota</v>
      </c>
      <c r="C97" s="20" t="str">
        <f>VLOOKUP(A97,'Table S6A'!A:C,3,FALSE)</f>
        <v>Coriobacteriaceae</v>
      </c>
      <c r="D97" s="20" t="str">
        <f>VLOOKUP(A97,'Table S6B'!A:E,4,FALSE)</f>
        <v>swine feces</v>
      </c>
      <c r="E97" s="20" t="str">
        <f>VLOOKUP(A97,'Table S6B'!A:E,5,FALSE)</f>
        <v>Gastrointestinal tract</v>
      </c>
      <c r="F97" s="20">
        <v>508</v>
      </c>
      <c r="G97" s="21">
        <v>0.98</v>
      </c>
      <c r="H97" s="22">
        <v>1E-175</v>
      </c>
      <c r="I97" s="20">
        <v>59.42</v>
      </c>
      <c r="J97" s="20">
        <v>428</v>
      </c>
      <c r="K97" s="20" t="str">
        <f>HYPERLINK("https://www.ncbi.nlm.nih.gov/protein/MBY4798126.1?report=genbank&amp;log$=prottop&amp;blast_rank=241&amp;RID=AS4RWFEC013","MBY4798126.1")</f>
        <v>MBY4798126.1</v>
      </c>
      <c r="L97" s="20"/>
    </row>
    <row r="98" spans="1:12">
      <c r="A98" s="20" t="s">
        <v>550</v>
      </c>
      <c r="B98" s="20" t="str">
        <f>VLOOKUP(A98,'Table S6A'!A:C,2,FALSE)</f>
        <v>Actinomycetota</v>
      </c>
      <c r="C98" s="20" t="str">
        <f>VLOOKUP(A98,'Table S6A'!A:C,3,FALSE)</f>
        <v>Coriobacteriaceae</v>
      </c>
      <c r="D98" s="20" t="str">
        <f>VLOOKUP(A98,'Table S6B'!A:E,4,FALSE)</f>
        <v>patient suffering from bacterial vaginosis</v>
      </c>
      <c r="E98" s="20" t="str">
        <f>VLOOKUP(A98,'Table S6B'!A:E,5,FALSE)</f>
        <v>infection</v>
      </c>
      <c r="F98" s="20">
        <v>486</v>
      </c>
      <c r="G98" s="21">
        <v>0.98</v>
      </c>
      <c r="H98" s="22">
        <v>5.0000000000000002E-167</v>
      </c>
      <c r="I98" s="20">
        <v>57.49</v>
      </c>
      <c r="J98" s="20">
        <v>427</v>
      </c>
      <c r="K98" s="20" t="str">
        <f>HYPERLINK("https://www.ncbi.nlm.nih.gov/protein/WP_085830651.1?report=genbank&amp;log$=prottop&amp;blast_rank=395&amp;RID=AS4RWFEC013","WP_085830651.1")</f>
        <v>WP_085830651.1</v>
      </c>
      <c r="L98" s="20"/>
    </row>
    <row r="99" spans="1:12">
      <c r="A99" s="20" t="s">
        <v>552</v>
      </c>
      <c r="B99" s="20" t="str">
        <f>VLOOKUP(A99,'Table S6A'!A:C,2,FALSE)</f>
        <v>Actinomycetota</v>
      </c>
      <c r="C99" s="20" t="str">
        <f>VLOOKUP(A99,'Table S6A'!A:C,3,FALSE)</f>
        <v>Coriobacteriaceae</v>
      </c>
      <c r="D99" s="20" t="str">
        <f>VLOOKUP(A99,'Table S6B'!A:E,4,FALSE)</f>
        <v>human feces</v>
      </c>
      <c r="E99" s="20" t="str">
        <f>VLOOKUP(A99,'Table S6B'!A:E,5,FALSE)</f>
        <v>Gastrointestinal tract</v>
      </c>
      <c r="F99" s="20">
        <v>500</v>
      </c>
      <c r="G99" s="21">
        <v>0.98</v>
      </c>
      <c r="H99" s="22">
        <v>1E-172</v>
      </c>
      <c r="I99" s="20">
        <v>59.22</v>
      </c>
      <c r="J99" s="20">
        <v>425</v>
      </c>
      <c r="K99" s="20" t="str">
        <f>HYPERLINK("https://www.ncbi.nlm.nih.gov/protein/MBE6468447.1?report=genbank&amp;log$=prottop&amp;blast_rank=261&amp;RID=AS4RWFEC013","MBE6468447.1")</f>
        <v>MBE6468447.1</v>
      </c>
      <c r="L99" s="20"/>
    </row>
    <row r="100" spans="1:12">
      <c r="A100" s="20" t="s">
        <v>553</v>
      </c>
      <c r="B100" s="20" t="str">
        <f>VLOOKUP(A100,'Table S6A'!A:C,2,FALSE)</f>
        <v>Actinomycetota</v>
      </c>
      <c r="C100" s="20" t="str">
        <f>VLOOKUP(A100,'Table S6A'!A:C,3,FALSE)</f>
        <v>Coriobacteriaceae</v>
      </c>
      <c r="D100" s="20" t="str">
        <f>VLOOKUP(A100,'Table S6B'!A:E,4,FALSE)</f>
        <v>human feces</v>
      </c>
      <c r="E100" s="20" t="str">
        <f>VLOOKUP(A100,'Table S6B'!A:E,5,FALSE)</f>
        <v>Gastrointestinal tract</v>
      </c>
      <c r="F100" s="20">
        <v>481</v>
      </c>
      <c r="G100" s="21">
        <v>0.97</v>
      </c>
      <c r="H100" s="22">
        <v>2.9999999999999998E-165</v>
      </c>
      <c r="I100" s="20">
        <v>58.74</v>
      </c>
      <c r="J100" s="20">
        <v>417</v>
      </c>
      <c r="K100" s="20" t="str">
        <f>HYPERLINK("https://www.ncbi.nlm.nih.gov/protein/PWM34891.1?report=genbank&amp;log$=prottop&amp;blast_rank=409&amp;RID=AS4RWFEC013","PWM34891.1")</f>
        <v>PWM34891.1</v>
      </c>
      <c r="L100" s="20"/>
    </row>
    <row r="101" spans="1:12">
      <c r="A101" s="20" t="s">
        <v>554</v>
      </c>
      <c r="B101" s="20" t="str">
        <f>VLOOKUP(A101,'Table S6A'!A:C,2,FALSE)</f>
        <v>Thermotogota</v>
      </c>
      <c r="C101" s="20" t="str">
        <f>VLOOKUP(A101,'Table S6A'!A:C,3,FALSE)</f>
        <v>Petrotogaceae</v>
      </c>
      <c r="D101" s="20" t="str">
        <f>VLOOKUP(A101,'Table S6B'!A:E,4,FALSE)</f>
        <v>mesothermic and anaerobic whey digester</v>
      </c>
      <c r="E101" s="20" t="str">
        <f>VLOOKUP(A101,'Table S6B'!A:E,5,FALSE)</f>
        <v>Engineered</v>
      </c>
      <c r="F101" s="20">
        <v>592</v>
      </c>
      <c r="G101" s="21">
        <v>0.99</v>
      </c>
      <c r="H101" s="20">
        <v>0</v>
      </c>
      <c r="I101" s="20">
        <v>68.430000000000007</v>
      </c>
      <c r="J101" s="20">
        <v>416</v>
      </c>
      <c r="K101" s="20" t="str">
        <f>HYPERLINK("https://www.ncbi.nlm.nih.gov/protein/MDD3601385.1?report=genbank&amp;log$=prottop&amp;blast_rank=114&amp;RID=AS4RWFEC013","MDD3601385.1")</f>
        <v>MDD3601385.1</v>
      </c>
      <c r="L101" s="20"/>
    </row>
    <row r="102" spans="1:12">
      <c r="A102" s="20" t="s">
        <v>554</v>
      </c>
      <c r="B102" s="20" t="str">
        <f>VLOOKUP(A102,'Table S6A'!A:C,2,FALSE)</f>
        <v>Thermotogota</v>
      </c>
      <c r="C102" s="20" t="str">
        <f>VLOOKUP(A102,'Table S6A'!A:C,3,FALSE)</f>
        <v>Petrotogaceae</v>
      </c>
      <c r="D102" s="20" t="str">
        <f>VLOOKUP(A102,'Table S6B'!A:E,4,FALSE)</f>
        <v>mesothermic and anaerobic whey digester</v>
      </c>
      <c r="E102" s="20" t="str">
        <f>VLOOKUP(A102,'Table S6B'!A:E,5,FALSE)</f>
        <v>Engineered</v>
      </c>
      <c r="F102" s="20">
        <v>589</v>
      </c>
      <c r="G102" s="21">
        <v>0.99</v>
      </c>
      <c r="H102" s="20">
        <v>0</v>
      </c>
      <c r="I102" s="20">
        <v>68.36</v>
      </c>
      <c r="J102" s="20">
        <v>418</v>
      </c>
      <c r="K102" s="20" t="str">
        <f>HYPERLINK("https://www.ncbi.nlm.nih.gov/protein/CEP78943.1?report=genbank&amp;log$=prottop&amp;blast_rank=120&amp;RID=AS4RWFEC013","CEP78943.1")</f>
        <v>CEP78943.1</v>
      </c>
      <c r="L102" s="20"/>
    </row>
    <row r="103" spans="1:12">
      <c r="A103" s="20" t="s">
        <v>558</v>
      </c>
      <c r="B103" s="20" t="s">
        <v>559</v>
      </c>
      <c r="C103" s="20"/>
      <c r="D103" s="20" t="str">
        <f>VLOOKUP(A103,'Table S6B'!A:E,4,FALSE)</f>
        <v>insect guts</v>
      </c>
      <c r="E103" s="20" t="str">
        <f>VLOOKUP(A103,'Table S6B'!A:E,5,FALSE)</f>
        <v>Gastrointestinal tract</v>
      </c>
      <c r="F103" s="20">
        <v>579</v>
      </c>
      <c r="G103" s="21">
        <v>0.98</v>
      </c>
      <c r="H103" s="20">
        <v>0</v>
      </c>
      <c r="I103" s="20">
        <v>67.55</v>
      </c>
      <c r="J103" s="20">
        <v>414</v>
      </c>
      <c r="K103" s="20" t="str">
        <f>HYPERLINK("https://www.ncbi.nlm.nih.gov/protein/UQZ88881.1?report=genbank&amp;log$=prottop&amp;blast_rank=151&amp;RID=AS4RWFEC013","UQZ88881.1")</f>
        <v>UQZ88881.1</v>
      </c>
      <c r="L103" s="20"/>
    </row>
    <row r="104" spans="1:12">
      <c r="A104" s="20" t="s">
        <v>562</v>
      </c>
      <c r="B104" s="20" t="str">
        <f>VLOOKUP(A104,'Table S6A'!A:C,2,FALSE)</f>
        <v> Bacillota</v>
      </c>
      <c r="C104" s="20" t="str">
        <f>VLOOKUP(A104,'Table S6A'!A:C,3,FALSE)</f>
        <v>Desulfitobacteriaceae</v>
      </c>
      <c r="D104" s="20" t="str">
        <f>VLOOKUP(A104,'Table S6B'!A:E,4,FALSE)</f>
        <v>unknown</v>
      </c>
      <c r="E104" s="20"/>
      <c r="F104" s="20">
        <v>515</v>
      </c>
      <c r="G104" s="21">
        <v>0.97</v>
      </c>
      <c r="H104" s="22">
        <v>6.0000000000000001E-179</v>
      </c>
      <c r="I104" s="20">
        <v>59.56</v>
      </c>
      <c r="J104" s="20">
        <v>415</v>
      </c>
      <c r="K104" s="20" t="str">
        <f>HYPERLINK("https://www.ncbi.nlm.nih.gov/protein/WP_135379930.1?report=genbank&amp;log$=prottop&amp;blast_rank=217&amp;RID=AS4RWFEC013","WP_135379930.1")</f>
        <v>WP_135379930.1</v>
      </c>
      <c r="L104" s="20"/>
    </row>
    <row r="105" spans="1:12">
      <c r="A105" s="20" t="s">
        <v>564</v>
      </c>
      <c r="B105" s="20" t="str">
        <f>VLOOKUP(A105,'Table S6A'!A:C,2,FALSE)</f>
        <v> Bacillota</v>
      </c>
      <c r="C105" s="20" t="str">
        <f>VLOOKUP(A105,'Table S6A'!A:C,3,FALSE)</f>
        <v>Erysipelotrichaceae</v>
      </c>
      <c r="D105" s="20" t="str">
        <f>VLOOKUP(A105,'Table S6B'!A:E,4,FALSE)</f>
        <v>human feces</v>
      </c>
      <c r="E105" s="20" t="str">
        <f>VLOOKUP(A105,'Table S6B'!A:E,5,FALSE)</f>
        <v>Gastrointestinal tract</v>
      </c>
      <c r="F105" s="20">
        <v>677</v>
      </c>
      <c r="G105" s="21">
        <v>0.98</v>
      </c>
      <c r="H105" s="20">
        <v>0</v>
      </c>
      <c r="I105" s="20">
        <v>78.64</v>
      </c>
      <c r="J105" s="20">
        <v>413</v>
      </c>
      <c r="K105" s="20" t="str">
        <f>HYPERLINK("https://www.ncbi.nlm.nih.gov/protein/WP_022937863.1?report=genbank&amp;log$=prottop&amp;blast_rank=53&amp;RID=AS4RWFEC013","WP_022937863.1")</f>
        <v>WP_022937863.1</v>
      </c>
      <c r="L105" s="20"/>
    </row>
    <row r="106" spans="1:12">
      <c r="A106" s="20" t="s">
        <v>565</v>
      </c>
      <c r="B106" s="20" t="str">
        <f>VLOOKUP(A106,'Table S6A'!A:C,2,FALSE)</f>
        <v>Actinomycetota</v>
      </c>
      <c r="C106" s="20" t="str">
        <f>VLOOKUP(A106,'Table S6A'!A:C,3,FALSE)</f>
        <v>Coriobacteriaceae</v>
      </c>
      <c r="D106" s="20" t="str">
        <f>VLOOKUP(A106,'Table S6B'!A:E,4,FALSE)</f>
        <v>stool sample from a patient</v>
      </c>
      <c r="E106" s="20" t="str">
        <f>VLOOKUP(A106,'Table S6B'!A:E,5,FALSE)</f>
        <v>infection</v>
      </c>
      <c r="F106" s="20">
        <v>501</v>
      </c>
      <c r="G106" s="21">
        <v>0.98</v>
      </c>
      <c r="H106" s="22">
        <v>6.0000000000000002E-173</v>
      </c>
      <c r="I106" s="20">
        <v>58.94</v>
      </c>
      <c r="J106" s="20">
        <v>427</v>
      </c>
      <c r="K106" s="20" t="str">
        <f>HYPERLINK("https://www.ncbi.nlm.nih.gov/protein/WP_289544717.1?report=genbank&amp;log$=prottop&amp;blast_rank=258&amp;RID=AS4RWFEC013","WP_289544717.1")</f>
        <v>WP_289544717.1</v>
      </c>
      <c r="L106" s="20"/>
    </row>
    <row r="107" spans="1:12">
      <c r="A107" s="20" t="s">
        <v>567</v>
      </c>
      <c r="B107" s="20" t="str">
        <f>VLOOKUP(A107,'Table S6A'!A:C,2,FALSE)</f>
        <v> Bacillota</v>
      </c>
      <c r="C107" s="20" t="str">
        <f>VLOOKUP(A107,'Table S6A'!A:C,3,FALSE)</f>
        <v>Lachnospiraceae</v>
      </c>
      <c r="D107" s="20" t="str">
        <f>VLOOKUP(A107,'Table S6B'!A:E,4,FALSE)</f>
        <v>clinical infections in California</v>
      </c>
      <c r="E107" s="20" t="str">
        <f>VLOOKUP(A107,'Table S6B'!A:E,5,FALSE)</f>
        <v>infection</v>
      </c>
      <c r="F107" s="20">
        <v>587</v>
      </c>
      <c r="G107" s="21">
        <v>0.97</v>
      </c>
      <c r="H107" s="20">
        <v>0</v>
      </c>
      <c r="I107" s="20">
        <v>68.459999999999994</v>
      </c>
      <c r="J107" s="20">
        <v>413</v>
      </c>
      <c r="K107" s="20" t="str">
        <f>HYPERLINK("https://www.ncbi.nlm.nih.gov/protein/WP_117557731.1?report=genbank&amp;log$=prottop&amp;blast_rank=122&amp;RID=AS4RWFEC013","WP_117557731.1")</f>
        <v>WP_117557731.1</v>
      </c>
      <c r="L107" s="20"/>
    </row>
    <row r="108" spans="1:12">
      <c r="A108" s="20" t="s">
        <v>569</v>
      </c>
      <c r="B108" s="20" t="str">
        <f>VLOOKUP(A108,'Table S6A'!A:C,2,FALSE)</f>
        <v> Bacillota</v>
      </c>
      <c r="C108" s="20" t="str">
        <f>VLOOKUP(A108,'Table S6A'!A:C,3,FALSE)</f>
        <v>Lachnospiraceae</v>
      </c>
      <c r="D108" s="20" t="str">
        <f>VLOOKUP(A108,'Table S6B'!A:E,4,FALSE)</f>
        <v>clinical infections in California</v>
      </c>
      <c r="E108" s="20" t="str">
        <f>VLOOKUP(A108,'Table S6B'!A:E,5,FALSE)</f>
        <v>infection</v>
      </c>
      <c r="F108" s="20">
        <v>570</v>
      </c>
      <c r="G108" s="21">
        <v>0.98</v>
      </c>
      <c r="H108" s="20">
        <v>0</v>
      </c>
      <c r="I108" s="20">
        <v>65.38</v>
      </c>
      <c r="J108" s="20">
        <v>413</v>
      </c>
      <c r="K108" s="20" t="str">
        <f>HYPERLINK("https://www.ncbi.nlm.nih.gov/protein/WP_083425160.1?report=genbank&amp;log$=prottop&amp;blast_rank=165&amp;RID=AS4RWFEC013","WP_083425160.1")</f>
        <v>WP_083425160.1</v>
      </c>
      <c r="L108" s="20"/>
    </row>
    <row r="109" spans="1:12">
      <c r="A109" s="20" t="s">
        <v>570</v>
      </c>
      <c r="B109" s="20" t="str">
        <f>VLOOKUP(A109,'Table S6A'!A:C,2,FALSE)</f>
        <v> Bacillota</v>
      </c>
      <c r="C109" s="20" t="str">
        <f>VLOOKUP(A109,'Table S6A'!A:C,3,FALSE)</f>
        <v>Lachnospiraceae</v>
      </c>
      <c r="D109" s="20" t="str">
        <f>VLOOKUP(A109,'Table S6B'!A:E,4,FALSE)</f>
        <v>human feces</v>
      </c>
      <c r="E109" s="20" t="str">
        <f>VLOOKUP(A109,'Table S6B'!A:E,5,FALSE)</f>
        <v>Gastrointestinal tract</v>
      </c>
      <c r="F109" s="20">
        <v>713</v>
      </c>
      <c r="G109" s="21">
        <v>0.98</v>
      </c>
      <c r="H109" s="20">
        <v>0</v>
      </c>
      <c r="I109" s="20">
        <v>81.36</v>
      </c>
      <c r="J109" s="20">
        <v>413</v>
      </c>
      <c r="K109" s="20" t="str">
        <f>HYPERLINK("https://www.ncbi.nlm.nih.gov/protein/WP_271824044.1?report=genbank&amp;log$=prottop&amp;blast_rank=14&amp;RID=AS4RWFEC013","WP_271824044.1")</f>
        <v>WP_271824044.1</v>
      </c>
      <c r="L109" s="20"/>
    </row>
    <row r="110" spans="1:12">
      <c r="A110" s="20" t="s">
        <v>571</v>
      </c>
      <c r="B110" s="20" t="str">
        <f>VLOOKUP(A110,'Table S6A'!A:C,2,FALSE)</f>
        <v> Bacillota</v>
      </c>
      <c r="C110" s="20" t="str">
        <f>VLOOKUP(A110,'Table S6A'!A:C,3,FALSE)</f>
        <v>Enterococcaceae</v>
      </c>
      <c r="D110" s="20" t="str">
        <f>VLOOKUP(A110,'Table S6B'!A:E,4,FALSE)</f>
        <v xml:space="preserve">gut </v>
      </c>
      <c r="E110" s="20" t="str">
        <f>VLOOKUP(A110,'Table S6B'!A:E,5,FALSE)</f>
        <v>Gastrointestinal tract</v>
      </c>
      <c r="F110" s="20">
        <v>685</v>
      </c>
      <c r="G110" s="21">
        <v>0.98</v>
      </c>
      <c r="H110" s="20">
        <v>0</v>
      </c>
      <c r="I110" s="20">
        <v>78.209999999999994</v>
      </c>
      <c r="J110" s="20">
        <v>413</v>
      </c>
      <c r="K110" s="20" t="str">
        <f>HYPERLINK("https://www.ncbi.nlm.nih.gov/protein/MCD7961861.1?report=genbank&amp;log$=prottop&amp;blast_rank=45&amp;RID=AS4RWFEC013","MCD7961861.1")</f>
        <v>MCD7961861.1</v>
      </c>
      <c r="L110" s="20"/>
    </row>
    <row r="111" spans="1:12">
      <c r="A111" s="20" t="s">
        <v>574</v>
      </c>
      <c r="B111" s="20" t="str">
        <f>VLOOKUP(A111,'Table S6A'!A:C,2,FALSE)</f>
        <v> Bacillota</v>
      </c>
      <c r="C111" s="20" t="str">
        <f>VLOOKUP(A111,'Table S6A'!A:C,3,FALSE)</f>
        <v>Erysipelotrichaceae</v>
      </c>
      <c r="D111" s="20" t="str">
        <f>VLOOKUP(A111,'Table S6B'!A:E,4,FALSE)</f>
        <v>pig gut</v>
      </c>
      <c r="E111" s="20" t="str">
        <f>VLOOKUP(A111,'Table S6B'!A:E,5,FALSE)</f>
        <v>Gastrointestinal tract</v>
      </c>
      <c r="F111" s="20">
        <v>686</v>
      </c>
      <c r="G111" s="21">
        <v>0.98</v>
      </c>
      <c r="H111" s="20">
        <v>0</v>
      </c>
      <c r="I111" s="20">
        <v>79.37</v>
      </c>
      <c r="J111" s="20">
        <v>413</v>
      </c>
      <c r="K111" s="20" t="str">
        <f>HYPERLINK("https://www.ncbi.nlm.nih.gov/protein/MCI5773468.1?report=genbank&amp;log$=prottop&amp;blast_rank=39&amp;RID=AS4RWFEC013","MCI5773468.1")</f>
        <v>MCI5773468.1</v>
      </c>
      <c r="L111" s="20"/>
    </row>
    <row r="112" spans="1:12">
      <c r="A112" s="20" t="s">
        <v>576</v>
      </c>
      <c r="B112" s="20" t="str">
        <f>VLOOKUP(A112,'Table S6A'!A:C,2,FALSE)</f>
        <v> Bacillota</v>
      </c>
      <c r="C112" s="20" t="str">
        <f>VLOOKUP(A112,'Table S6A'!A:C,3,FALSE)</f>
        <v>Eubacteriaceae</v>
      </c>
      <c r="D112" s="20" t="str">
        <f>VLOOKUP(A112,'Table S6B'!A:E,4,FALSE)</f>
        <v>pig gut</v>
      </c>
      <c r="E112" s="20" t="str">
        <f>VLOOKUP(A112,'Table S6B'!A:E,5,FALSE)</f>
        <v>Gastrointestinal tract</v>
      </c>
      <c r="F112" s="20">
        <v>585</v>
      </c>
      <c r="G112" s="21">
        <v>0.98</v>
      </c>
      <c r="H112" s="20">
        <v>0</v>
      </c>
      <c r="I112" s="20">
        <v>68.77</v>
      </c>
      <c r="J112" s="20">
        <v>414</v>
      </c>
      <c r="K112" s="20" t="str">
        <f>HYPERLINK("https://www.ncbi.nlm.nih.gov/protein/MCI5998671.1?report=genbank&amp;log$=prottop&amp;blast_rank=133&amp;RID=AS4RWFEC013","MCI5998671.1")</f>
        <v>MCI5998671.1</v>
      </c>
      <c r="L112" s="20"/>
    </row>
    <row r="113" spans="1:12">
      <c r="A113" s="20" t="s">
        <v>577</v>
      </c>
      <c r="B113" s="20" t="str">
        <f>VLOOKUP(A113,'Table S6A'!A:C,2,FALSE)</f>
        <v> Bacillota</v>
      </c>
      <c r="C113" s="20"/>
      <c r="D113" s="20" t="str">
        <f>VLOOKUP(A113,'Table S6B'!A:E,4,FALSE)</f>
        <v>pig gut</v>
      </c>
      <c r="E113" s="20" t="str">
        <f>VLOOKUP(A113,'Table S6B'!A:E,5,FALSE)</f>
        <v>Gastrointestinal tract</v>
      </c>
      <c r="F113" s="20">
        <v>587</v>
      </c>
      <c r="G113" s="21">
        <v>0.98</v>
      </c>
      <c r="H113" s="20">
        <v>0</v>
      </c>
      <c r="I113" s="20">
        <v>68.52</v>
      </c>
      <c r="J113" s="20">
        <v>414</v>
      </c>
      <c r="K113" s="20" t="str">
        <f>HYPERLINK("https://www.ncbi.nlm.nih.gov/protein/MDD6477906.1?report=genbank&amp;log$=prottop&amp;blast_rank=127&amp;RID=AS4RWFEC013","MDD6477906.1")</f>
        <v>MDD6477906.1</v>
      </c>
      <c r="L113" s="20"/>
    </row>
    <row r="114" spans="1:12">
      <c r="A114" s="20" t="s">
        <v>579</v>
      </c>
      <c r="B114" s="20" t="str">
        <f>VLOOKUP(A114,'Table S6A'!A:C,2,FALSE)</f>
        <v>Actinomycetota</v>
      </c>
      <c r="C114" s="20" t="str">
        <f>VLOOKUP(A114,'Table S6A'!A:C,3,FALSE)</f>
        <v>Actinomycetaceae</v>
      </c>
      <c r="D114" s="20" t="str">
        <f>VLOOKUP(A114,'Table S6B'!A:E,4,FALSE)</f>
        <v>bacterial vaginosis</v>
      </c>
      <c r="E114" s="20" t="str">
        <f>VLOOKUP(A114,'Table S6B'!A:E,5,FALSE)</f>
        <v>infection</v>
      </c>
      <c r="F114" s="20">
        <v>501</v>
      </c>
      <c r="G114" s="21">
        <v>0.97</v>
      </c>
      <c r="H114" s="22">
        <v>2.0000000000000001E-173</v>
      </c>
      <c r="I114" s="20">
        <v>59.8</v>
      </c>
      <c r="J114" s="20">
        <v>415</v>
      </c>
      <c r="K114" s="20" t="str">
        <f>HYPERLINK("https://www.ncbi.nlm.nih.gov/protein/EFL43943.1?report=genbank&amp;log$=prottop&amp;blast_rank=252&amp;RID=AS4RWFEC013","EFL43943.1")</f>
        <v>EFL43943.1</v>
      </c>
      <c r="L114" s="20"/>
    </row>
    <row r="115" spans="1:12">
      <c r="A115" s="20" t="s">
        <v>581</v>
      </c>
      <c r="B115" s="20" t="str">
        <f>VLOOKUP(A115,'Table S6A'!A:C,2,FALSE)</f>
        <v> Bacillota</v>
      </c>
      <c r="C115" s="20" t="str">
        <f>VLOOKUP(A115,'Table S6A'!A:C,3,FALSE)</f>
        <v>Oscillospiraceae</v>
      </c>
      <c r="D115" s="20" t="str">
        <f>VLOOKUP(A115,'Table S6B'!A:E,4,FALSE)</f>
        <v>human blood</v>
      </c>
      <c r="E115" s="20" t="str">
        <f>VLOOKUP(A115,'Table S6B'!A:E,5,FALSE)</f>
        <v>blood</v>
      </c>
      <c r="F115" s="20">
        <v>582</v>
      </c>
      <c r="G115" s="21">
        <v>0.98</v>
      </c>
      <c r="H115" s="20">
        <v>0</v>
      </c>
      <c r="I115" s="20">
        <v>66.260000000000005</v>
      </c>
      <c r="J115" s="20">
        <v>414</v>
      </c>
      <c r="K115" s="20" t="str">
        <f>HYPERLINK("https://www.ncbi.nlm.nih.gov/protein/WP_106012442.1?report=genbank&amp;log$=prottop&amp;blast_rank=146&amp;RID=AS4RWFEC013","WP_106012442.1")</f>
        <v>WP_106012442.1</v>
      </c>
      <c r="L115" s="20"/>
    </row>
    <row r="116" spans="1:12">
      <c r="A116" s="20" t="s">
        <v>584</v>
      </c>
      <c r="B116" s="20" t="str">
        <f>VLOOKUP(A116,'Table S6A'!A:C,2,FALSE)</f>
        <v> Bacillota</v>
      </c>
      <c r="C116" s="20" t="str">
        <f>VLOOKUP(A116,'Table S6A'!A:C,3,FALSE)</f>
        <v>Oscillospiraceae</v>
      </c>
      <c r="D116" s="20" t="str">
        <f>VLOOKUP(A116,'Table S6B'!A:E,4,FALSE)</f>
        <v>human feces</v>
      </c>
      <c r="E116" s="20" t="str">
        <f>VLOOKUP(A116,'Table S6B'!A:E,5,FALSE)</f>
        <v>Gastrointestinal tract</v>
      </c>
      <c r="F116" s="20">
        <v>713</v>
      </c>
      <c r="G116" s="21">
        <v>0.98</v>
      </c>
      <c r="H116" s="20">
        <v>0</v>
      </c>
      <c r="I116" s="20">
        <v>82.52</v>
      </c>
      <c r="J116" s="20">
        <v>413</v>
      </c>
      <c r="K116" s="20" t="str">
        <f>HYPERLINK("https://www.ncbi.nlm.nih.gov/protein/WP_283129040.1?report=genbank&amp;log$=prottop&amp;blast_rank=16&amp;RID=AS4RWFEC013","WP_283129040.1")</f>
        <v>WP_283129040.1</v>
      </c>
      <c r="L116" s="20"/>
    </row>
    <row r="117" spans="1:12">
      <c r="A117" s="20" t="s">
        <v>585</v>
      </c>
      <c r="B117" s="20" t="str">
        <f>VLOOKUP(A117,'Table S6A'!A:C,2,FALSE)</f>
        <v> Bacillota</v>
      </c>
      <c r="C117" s="20" t="str">
        <f>VLOOKUP(A117,'Table S6A'!A:C,3,FALSE)</f>
        <v>Oscillospiraceae</v>
      </c>
      <c r="D117" s="20" t="str">
        <f>VLOOKUP(A117,'Table S6B'!A:E,4,FALSE)</f>
        <v>chicken intestine</v>
      </c>
      <c r="E117" s="20" t="str">
        <f>VLOOKUP(A117,'Table S6B'!A:E,5,FALSE)</f>
        <v>Gastrointestinal tract</v>
      </c>
      <c r="F117" s="20">
        <v>711</v>
      </c>
      <c r="G117" s="21">
        <v>0.98</v>
      </c>
      <c r="H117" s="20">
        <v>0</v>
      </c>
      <c r="I117" s="20">
        <v>82.52</v>
      </c>
      <c r="J117" s="20">
        <v>413</v>
      </c>
      <c r="K117" s="20" t="str">
        <f>HYPERLINK("https://www.ncbi.nlm.nih.gov/protein/WP_270912988.1?report=genbank&amp;log$=prottop&amp;blast_rank=22&amp;RID=AS4RWFEC013","WP_270912988.1")</f>
        <v>WP_270912988.1</v>
      </c>
      <c r="L117" s="20"/>
    </row>
    <row r="118" spans="1:12">
      <c r="A118" s="20" t="s">
        <v>587</v>
      </c>
      <c r="B118" s="20" t="str">
        <f>VLOOKUP(A118,'Table S6A'!A:C,2,FALSE)</f>
        <v> Synergistota</v>
      </c>
      <c r="C118" s="20" t="str">
        <f>VLOOKUP(A118,'Table S6A'!A:C,3,FALSE)</f>
        <v>Aminobacteriaceae</v>
      </c>
      <c r="D118" s="20" t="str">
        <f>VLOOKUP(A118,'Table S6B'!A:E,4,FALSE)</f>
        <v>unknown</v>
      </c>
      <c r="E118" s="20"/>
      <c r="F118" s="20">
        <v>699</v>
      </c>
      <c r="G118" s="21">
        <v>0.98</v>
      </c>
      <c r="H118" s="20">
        <v>0</v>
      </c>
      <c r="I118" s="20">
        <v>80.58</v>
      </c>
      <c r="J118" s="20">
        <v>417</v>
      </c>
      <c r="K118" s="20" t="str">
        <f>HYPERLINK("https://www.ncbi.nlm.nih.gov/protein/WP_124888913.1?report=genbank&amp;log$=prottop&amp;blast_rank=32&amp;RID=AS4RWFEC013","WP_124888913.1")</f>
        <v>WP_124888913.1</v>
      </c>
      <c r="L118" s="20"/>
    </row>
    <row r="119" spans="1:12">
      <c r="A119" s="20" t="s">
        <v>590</v>
      </c>
      <c r="B119" s="20" t="str">
        <f>VLOOKUP(A119,'Table S6A'!A:C,2,FALSE)</f>
        <v> Bacillota</v>
      </c>
      <c r="C119" s="20" t="str">
        <f>VLOOKUP(A119,'Table S6A'!A:C,3,FALSE)</f>
        <v>Peptoniphilaceae</v>
      </c>
      <c r="D119" s="20" t="str">
        <f>VLOOKUP(A119,'Table S6B'!A:E,4,FALSE)</f>
        <v>unknown</v>
      </c>
      <c r="E119" s="20"/>
      <c r="F119" s="20">
        <v>631</v>
      </c>
      <c r="G119" s="21">
        <v>0.97</v>
      </c>
      <c r="H119" s="20">
        <v>0</v>
      </c>
      <c r="I119" s="20">
        <v>73.28</v>
      </c>
      <c r="J119" s="20">
        <v>419</v>
      </c>
      <c r="K119" s="20" t="str">
        <f>HYPERLINK("https://www.ncbi.nlm.nih.gov/protein/HHX68059.1?report=genbank&amp;log$=prottop&amp;blast_rank=71&amp;RID=AS4RWFEC013","HHX68059.1")</f>
        <v>HHX68059.1</v>
      </c>
      <c r="L119" s="20"/>
    </row>
    <row r="120" spans="1:12">
      <c r="A120" s="20" t="s">
        <v>592</v>
      </c>
      <c r="B120" s="20" t="str">
        <f>VLOOKUP(A120,'Table S6A'!A:C,2,FALSE)</f>
        <v> Bacillota</v>
      </c>
      <c r="C120" s="20"/>
      <c r="D120" s="20" t="str">
        <f>VLOOKUP(A120,'Table S6B'!A:E,4,FALSE)</f>
        <v>chicken gut anaerobes</v>
      </c>
      <c r="E120" s="20" t="str">
        <f>VLOOKUP(A120,'Table S6B'!A:E,5,FALSE)</f>
        <v>Gastrointestinal tract</v>
      </c>
      <c r="F120" s="20">
        <v>711</v>
      </c>
      <c r="G120" s="21">
        <v>0.98</v>
      </c>
      <c r="H120" s="20">
        <v>0</v>
      </c>
      <c r="I120" s="20">
        <v>82.52</v>
      </c>
      <c r="J120" s="20">
        <v>413</v>
      </c>
      <c r="K120" s="20" t="str">
        <f>HYPERLINK("https://www.ncbi.nlm.nih.gov/protein/WP_087181666.1?report=genbank&amp;log$=prottop&amp;blast_rank=23&amp;RID=AS4RWFEC013","WP_087181666.1")</f>
        <v>WP_087181666.1</v>
      </c>
      <c r="L120" s="20"/>
    </row>
    <row r="121" spans="1:12">
      <c r="A121" s="20" t="s">
        <v>593</v>
      </c>
      <c r="B121" s="20" t="str">
        <f>VLOOKUP(A121,'Table S6A'!A:C,2,FALSE)</f>
        <v>Actinomycetota</v>
      </c>
      <c r="C121" s="20" t="str">
        <f>VLOOKUP(A121,'Table S6A'!A:C,3,FALSE)</f>
        <v>Actinomycetaceae</v>
      </c>
      <c r="D121" s="20" t="str">
        <f>VLOOKUP(A121,'Table S6B'!A:E,4,FALSE)</f>
        <v>wound swab</v>
      </c>
      <c r="E121" s="20" t="str">
        <f>VLOOKUP(A121,'Table S6B'!A:E,5,FALSE)</f>
        <v>infection</v>
      </c>
      <c r="F121" s="20">
        <v>558</v>
      </c>
      <c r="G121" s="21">
        <v>0.99</v>
      </c>
      <c r="H121" s="20">
        <v>0</v>
      </c>
      <c r="I121" s="20">
        <v>65.14</v>
      </c>
      <c r="J121" s="20">
        <v>417</v>
      </c>
      <c r="K121" s="20" t="str">
        <f>HYPERLINK("https://www.ncbi.nlm.nih.gov/protein/WP_102216989.1?report=genbank&amp;log$=prottop&amp;blast_rank=187&amp;RID=AS4RWFEC013","WP_102216989.1")</f>
        <v>WP_102216989.1</v>
      </c>
      <c r="L121" s="20"/>
    </row>
    <row r="122" spans="1:12">
      <c r="A122" s="20" t="s">
        <v>595</v>
      </c>
      <c r="B122" s="20" t="str">
        <f>VLOOKUP(A122,'Table S6A'!A:C,2,FALSE)</f>
        <v> Bacillota</v>
      </c>
      <c r="C122" s="20" t="str">
        <f>VLOOKUP(A122,'Table S6A'!A:C,3,FALSE)</f>
        <v>Clostridiaceae</v>
      </c>
      <c r="D122" s="20" t="str">
        <f>VLOOKUP(A122,'Table S6B'!A:E,4,FALSE)</f>
        <v>wastewater from a paper mill</v>
      </c>
      <c r="E122" s="20" t="str">
        <f>VLOOKUP(A122,'Table S6B'!A:E,5,FALSE)</f>
        <v>Engineered</v>
      </c>
      <c r="F122" s="20">
        <v>603</v>
      </c>
      <c r="G122" s="21">
        <v>0.98</v>
      </c>
      <c r="H122" s="20">
        <v>0</v>
      </c>
      <c r="I122" s="20">
        <v>68.52</v>
      </c>
      <c r="J122" s="20">
        <v>413</v>
      </c>
      <c r="K122" s="20" t="str">
        <f>HYPERLINK("https://www.ncbi.nlm.nih.gov/protein/WP_138207124.1?report=genbank&amp;log$=prottop&amp;blast_rank=93&amp;RID=AS4RWFEC013","WP_138207124.1")</f>
        <v>WP_138207124.1</v>
      </c>
      <c r="L122" s="20"/>
    </row>
    <row r="123" spans="1:12">
      <c r="A123" s="20" t="s">
        <v>597</v>
      </c>
      <c r="B123" s="20" t="str">
        <f>VLOOKUP(A123,'Table S6A'!A:C,2,FALSE)</f>
        <v> Bacillota</v>
      </c>
      <c r="C123" s="20" t="str">
        <f>VLOOKUP(A123,'Table S6A'!A:C,3,FALSE)</f>
        <v>Clostridiaceae</v>
      </c>
      <c r="D123" s="20" t="str">
        <f>VLOOKUP(A123,'Table S6B'!A:E,4,FALSE)</f>
        <v>human feces</v>
      </c>
      <c r="E123" s="20" t="str">
        <f>VLOOKUP(A123,'Table S6B'!A:E,5,FALSE)</f>
        <v>Gastrointestinal tract</v>
      </c>
      <c r="F123" s="20">
        <v>593</v>
      </c>
      <c r="G123" s="21">
        <v>0.98</v>
      </c>
      <c r="H123" s="20">
        <v>0</v>
      </c>
      <c r="I123" s="20">
        <v>67.55</v>
      </c>
      <c r="J123" s="20">
        <v>413</v>
      </c>
      <c r="K123" s="20" t="str">
        <f>HYPERLINK("https://www.ncbi.nlm.nih.gov/protein/WP_102398823.1?report=genbank&amp;log$=prottop&amp;blast_rank=110&amp;RID=AS4RWFEC013","WP_102398823.1")</f>
        <v>WP_102398823.1</v>
      </c>
      <c r="L123" s="20"/>
    </row>
    <row r="124" spans="1:12">
      <c r="A124" s="20" t="s">
        <v>708</v>
      </c>
      <c r="B124" s="20" t="s">
        <v>396</v>
      </c>
      <c r="C124" s="20" t="s">
        <v>397</v>
      </c>
      <c r="D124" s="20" t="s">
        <v>709</v>
      </c>
      <c r="E124" s="20" t="s">
        <v>425</v>
      </c>
      <c r="F124" s="20">
        <v>426</v>
      </c>
      <c r="G124" s="21">
        <v>0.94</v>
      </c>
      <c r="H124" s="22">
        <v>5.9999999999999997E-144</v>
      </c>
      <c r="I124" s="20">
        <v>55.16</v>
      </c>
      <c r="J124" s="20">
        <v>396</v>
      </c>
      <c r="K124" s="20" t="str">
        <f>HYPERLINK("https://www.ncbi.nlm.nih.gov/protein/WP_243117920.1?report=genbank&amp;log$=prottop&amp;blast_rank=433&amp;RID=AS4RWFEC013","WP_243117920.1")</f>
        <v>WP_243117920.1</v>
      </c>
      <c r="L124" s="20"/>
    </row>
    <row r="125" spans="1:12">
      <c r="A125" s="20" t="s">
        <v>598</v>
      </c>
      <c r="B125" s="20" t="str">
        <f>VLOOKUP(A125,'Table S6A'!A:C,2,FALSE)</f>
        <v> Bacillota</v>
      </c>
      <c r="C125" s="20" t="str">
        <f>VLOOKUP(A125,'Table S6A'!A:C,3,FALSE)</f>
        <v>Clostridiaceae</v>
      </c>
      <c r="D125" s="20" t="str">
        <f>VLOOKUP(A125,'Table S6B'!A:E,4,FALSE)</f>
        <v>human feces</v>
      </c>
      <c r="E125" s="20" t="str">
        <f>VLOOKUP(A125,'Table S6B'!A:E,5,FALSE)</f>
        <v>Gastrointestinal tract</v>
      </c>
      <c r="F125" s="20">
        <v>572</v>
      </c>
      <c r="G125" s="21">
        <v>0.99</v>
      </c>
      <c r="H125" s="20">
        <v>0</v>
      </c>
      <c r="I125" s="20">
        <v>65.22</v>
      </c>
      <c r="J125" s="20">
        <v>413</v>
      </c>
      <c r="K125" s="20" t="str">
        <f>HYPERLINK("https://www.ncbi.nlm.nih.gov/protein/WP_142415349.1?report=genbank&amp;log$=prottop&amp;blast_rank=164&amp;RID=AS4RWFEC013","WP_142415349.1")</f>
        <v>WP_142415349.1</v>
      </c>
      <c r="L125" s="20"/>
    </row>
    <row r="126" spans="1:12">
      <c r="A126" s="20" t="s">
        <v>599</v>
      </c>
      <c r="B126" s="20" t="str">
        <f>VLOOKUP(A126,'Table S6A'!A:C,2,FALSE)</f>
        <v> Bacillota</v>
      </c>
      <c r="C126" s="20" t="str">
        <f>VLOOKUP(A126,'Table S6A'!A:C,3,FALSE)</f>
        <v>Eubacteriales Family XIII. Incertae Sedis</v>
      </c>
      <c r="D126" s="20" t="str">
        <f>VLOOKUP(A126,'Table S6B'!A:E,4,FALSE)</f>
        <v>human feces</v>
      </c>
      <c r="E126" s="20" t="str">
        <f>VLOOKUP(A126,'Table S6B'!A:E,5,FALSE)</f>
        <v>Gastrointestinal tract</v>
      </c>
      <c r="F126" s="20">
        <v>578</v>
      </c>
      <c r="G126" s="21">
        <v>0.97</v>
      </c>
      <c r="H126" s="20">
        <v>0</v>
      </c>
      <c r="I126" s="20">
        <v>66.42</v>
      </c>
      <c r="J126" s="20">
        <v>410</v>
      </c>
      <c r="K126" s="20" t="str">
        <f>HYPERLINK("https://www.ncbi.nlm.nih.gov/protein/WP_269477071.1?report=genbank&amp;log$=prottop&amp;blast_rank=158&amp;RID=AS4RWFEC013","WP_269477071.1")</f>
        <v>WP_269477071.1</v>
      </c>
      <c r="L126" s="20"/>
    </row>
    <row r="127" spans="1:12">
      <c r="A127" s="20" t="s">
        <v>600</v>
      </c>
      <c r="B127" s="20" t="str">
        <f>VLOOKUP(A127,'Table S6A'!A:C,2,FALSE)</f>
        <v> Bacillota</v>
      </c>
      <c r="C127" s="20" t="str">
        <f>VLOOKUP(A127,'Table S6A'!A:C,3,FALSE)</f>
        <v>Clostridiaceae</v>
      </c>
      <c r="D127" s="20" t="str">
        <f>VLOOKUP(A127,'Table S6B'!A:E,4,FALSE)</f>
        <v xml:space="preserve">probiotic industry effluent </v>
      </c>
      <c r="E127" s="20" t="str">
        <f>VLOOKUP(A127,'Table S6B'!A:E,5,FALSE)</f>
        <v>Engineered</v>
      </c>
      <c r="F127" s="20">
        <v>855</v>
      </c>
      <c r="G127" s="21">
        <v>1</v>
      </c>
      <c r="H127" s="20">
        <v>0</v>
      </c>
      <c r="I127" s="20">
        <v>99.28</v>
      </c>
      <c r="J127" s="20">
        <v>418</v>
      </c>
      <c r="K127" s="20" t="str">
        <f>HYPERLINK("https://www.ncbi.nlm.nih.gov/protein/WP_270814812.1?report=genbank&amp;log$=prottop&amp;blast_rank=3&amp;RID=AS4RWFEC013","WP_270814812.1")</f>
        <v>WP_270814812.1</v>
      </c>
      <c r="L127" s="20"/>
    </row>
    <row r="128" spans="1:12">
      <c r="A128" s="20" t="s">
        <v>602</v>
      </c>
      <c r="B128" s="20" t="str">
        <f>VLOOKUP(A128,'Table S6A'!A:C,2,FALSE)</f>
        <v> Bacillota</v>
      </c>
      <c r="C128" s="20" t="str">
        <f>VLOOKUP(A128,'Table S6A'!A:C,3,FALSE)</f>
        <v>Clostridiaceae</v>
      </c>
      <c r="D128" s="20" t="str">
        <f>VLOOKUP(A128,'Table S6B'!A:E,4,FALSE)</f>
        <v>human feces</v>
      </c>
      <c r="E128" s="20" t="str">
        <f>VLOOKUP(A128,'Table S6B'!A:E,5,FALSE)</f>
        <v>Gastrointestinal tract</v>
      </c>
      <c r="F128" s="20">
        <v>855</v>
      </c>
      <c r="G128" s="21">
        <v>1</v>
      </c>
      <c r="H128" s="20">
        <v>0</v>
      </c>
      <c r="I128" s="20">
        <v>99.28</v>
      </c>
      <c r="J128" s="20">
        <v>418</v>
      </c>
      <c r="K128" s="20" t="str">
        <f>HYPERLINK("https://www.ncbi.nlm.nih.gov/protein/MBS5071640.1?report=genbank&amp;log$=prottop&amp;blast_rank=4&amp;RID=AS4RWFEC013","MBS5071640.1")</f>
        <v>MBS5071640.1</v>
      </c>
      <c r="L128" s="20"/>
    </row>
    <row r="129" spans="1:12">
      <c r="A129" s="20" t="s">
        <v>603</v>
      </c>
      <c r="B129" s="20" t="str">
        <f>VLOOKUP(A129,'Table S6A'!A:C,2,FALSE)</f>
        <v> Bacillota</v>
      </c>
      <c r="C129" s="20" t="str">
        <f>VLOOKUP(A129,'Table S6A'!A:C,3,FALSE)</f>
        <v>Clostridiaceae</v>
      </c>
      <c r="D129" s="20" t="str">
        <f>VLOOKUP(A129,'Table S6B'!A:E,4,FALSE)</f>
        <v>human feces</v>
      </c>
      <c r="E129" s="20" t="str">
        <f>VLOOKUP(A129,'Table S6B'!A:E,5,FALSE)</f>
        <v>Gastrointestinal tract</v>
      </c>
      <c r="F129" s="20">
        <v>595</v>
      </c>
      <c r="G129" s="21">
        <v>0.99</v>
      </c>
      <c r="H129" s="20">
        <v>0</v>
      </c>
      <c r="I129" s="20">
        <v>67.150000000000006</v>
      </c>
      <c r="J129" s="20">
        <v>413</v>
      </c>
      <c r="K129" s="20" t="str">
        <f>HYPERLINK("https://www.ncbi.nlm.nih.gov/protein/WP_053956081.1?report=genbank&amp;log$=prottop&amp;blast_rank=104&amp;RID=AS4RWFEC013","WP_053956081.1")</f>
        <v>WP_053956081.1</v>
      </c>
      <c r="L129" s="20"/>
    </row>
    <row r="130" spans="1:12">
      <c r="A130" s="20" t="s">
        <v>604</v>
      </c>
      <c r="B130" s="20" t="str">
        <f>VLOOKUP(A130,'Table S6A'!A:C,2,FALSE)</f>
        <v> Bacillota</v>
      </c>
      <c r="C130" s="20" t="str">
        <f>VLOOKUP(A130,'Table S6A'!A:C,3,FALSE)</f>
        <v>Tepidimicrobiaceae</v>
      </c>
      <c r="D130" s="20" t="str">
        <f>VLOOKUP(A130,'Table S6B'!A:E,4,FALSE)</f>
        <v>soil from grassy marshland</v>
      </c>
      <c r="E130" s="20" t="str">
        <f>VLOOKUP(A130,'Table S6B'!A:E,5,FALSE)</f>
        <v>Environmental</v>
      </c>
      <c r="F130" s="20">
        <v>595</v>
      </c>
      <c r="G130" s="21">
        <v>0.98</v>
      </c>
      <c r="H130" s="20">
        <v>0</v>
      </c>
      <c r="I130" s="20">
        <v>68.040000000000006</v>
      </c>
      <c r="J130" s="20">
        <v>412</v>
      </c>
      <c r="K130" s="20" t="str">
        <f>HYPERLINK("https://www.ncbi.nlm.nih.gov/protein/WP_132028732.1?report=genbank&amp;log$=prottop&amp;blast_rank=105&amp;RID=AS4RWFEC013","WP_132028732.1")</f>
        <v>WP_132028732.1</v>
      </c>
      <c r="L130" s="20"/>
    </row>
    <row r="131" spans="1:12">
      <c r="A131" s="20" t="s">
        <v>607</v>
      </c>
      <c r="B131" s="20" t="str">
        <f>VLOOKUP(A131,'Table S6A'!A:C,2,FALSE)</f>
        <v> Bacillota</v>
      </c>
      <c r="C131" s="20" t="str">
        <f>VLOOKUP(A131,'Table S6A'!A:C,3,FALSE)</f>
        <v>Lachnospiraceae</v>
      </c>
      <c r="D131" s="20" t="str">
        <f>VLOOKUP(A131,'Table S6B'!A:E,4,FALSE)</f>
        <v>Gastrointestinal tract (GIT) microbiomes in ruminant</v>
      </c>
      <c r="E131" s="20" t="str">
        <f>VLOOKUP(A131,'Table S6B'!A:E,5,FALSE)</f>
        <v>Gastrointestinal tract</v>
      </c>
      <c r="F131" s="20">
        <v>652</v>
      </c>
      <c r="G131" s="21">
        <v>0.99</v>
      </c>
      <c r="H131" s="20">
        <v>0</v>
      </c>
      <c r="I131" s="20">
        <v>74.22</v>
      </c>
      <c r="J131" s="20">
        <v>418</v>
      </c>
      <c r="K131" s="20" t="str">
        <f>HYPERLINK("https://www.ncbi.nlm.nih.gov/protein/MBR4315166.1?report=genbank&amp;log$=prottop&amp;blast_rank=67&amp;RID=AS4RWFEC013","MBR4315166.1")</f>
        <v>MBR4315166.1</v>
      </c>
      <c r="L131" s="20"/>
    </row>
    <row r="132" spans="1:12">
      <c r="A132" s="20" t="s">
        <v>609</v>
      </c>
      <c r="B132" s="20" t="str">
        <f>VLOOKUP(A132,'Table S6A'!A:C,2,FALSE)</f>
        <v>Actinomycetota</v>
      </c>
      <c r="C132" s="20" t="str">
        <f>VLOOKUP(A132,'Table S6A'!A:C,3,FALSE)</f>
        <v xml:space="preserve">Atopobiaceae </v>
      </c>
      <c r="D132" s="20" t="str">
        <f>VLOOKUP(A132,'Table S6B'!A:E,4,FALSE)</f>
        <v>Human gingival crevices</v>
      </c>
      <c r="E132" s="20" t="str">
        <f>VLOOKUP(A132,'Table S6B'!A:E,5,FALSE)</f>
        <v>Gastrointestinal tract</v>
      </c>
      <c r="F132" s="20">
        <v>510</v>
      </c>
      <c r="G132" s="21">
        <v>0.98</v>
      </c>
      <c r="H132" s="22">
        <v>6.0000000000000002E-177</v>
      </c>
      <c r="I132" s="20">
        <v>60.63</v>
      </c>
      <c r="J132" s="20">
        <v>415</v>
      </c>
      <c r="K132" s="20" t="str">
        <f>HYPERLINK("https://www.ncbi.nlm.nih.gov/protein/WP_012809355.1?report=genbank&amp;log$=prottop&amp;blast_rank=229&amp;RID=AS4RWFEC013","WP_012809355.1")</f>
        <v>WP_012809355.1</v>
      </c>
      <c r="L132" s="20"/>
    </row>
    <row r="133" spans="1:12">
      <c r="A133" s="20" t="s">
        <v>611</v>
      </c>
      <c r="B133" s="20" t="str">
        <f>VLOOKUP(A133,'Table S6A'!A:C,2,FALSE)</f>
        <v>Actinomycetota</v>
      </c>
      <c r="C133" s="20" t="str">
        <f>VLOOKUP(A133,'Table S6A'!A:C,3,FALSE)</f>
        <v xml:space="preserve">Atopobiaceae </v>
      </c>
      <c r="D133" s="20" t="str">
        <f>VLOOKUP(A133,'Table S6B'!A:E,4,FALSE)</f>
        <v>Human gingival crevices</v>
      </c>
      <c r="E133" s="20" t="str">
        <f>VLOOKUP(A133,'Table S6B'!A:E,5,FALSE)</f>
        <v>Gastrointestinal tract</v>
      </c>
      <c r="F133" s="20">
        <v>490</v>
      </c>
      <c r="G133" s="21">
        <v>0.97</v>
      </c>
      <c r="H133" s="22">
        <v>8.0000000000000002E-169</v>
      </c>
      <c r="I133" s="20">
        <v>58.05</v>
      </c>
      <c r="J133" s="20">
        <v>415</v>
      </c>
      <c r="K133" s="20" t="str">
        <f>HYPERLINK("https://www.ncbi.nlm.nih.gov/protein/MBF4807452.1?report=genbank&amp;log$=prottop&amp;blast_rank=353&amp;RID=AS4RWFEC013","MBF4807452.1")</f>
        <v>MBF4807452.1</v>
      </c>
      <c r="L133" s="20"/>
    </row>
    <row r="134" spans="1:12">
      <c r="A134" s="20" t="s">
        <v>612</v>
      </c>
      <c r="B134" s="20" t="str">
        <f>VLOOKUP(A134,'Table S6A'!A:C,2,FALSE)</f>
        <v>Actinomycetota</v>
      </c>
      <c r="C134" s="20" t="str">
        <f>VLOOKUP(A134,'Table S6A'!A:C,3,FALSE)</f>
        <v xml:space="preserve">Atopobiaceae </v>
      </c>
      <c r="D134" s="20" t="str">
        <f>VLOOKUP(A134,'Table S6B'!A:E,4,FALSE)</f>
        <v>Nash patient</v>
      </c>
      <c r="E134" s="20" t="str">
        <f>VLOOKUP(A134,'Table S6B'!A:E,5,FALSE)</f>
        <v>patient</v>
      </c>
      <c r="F134" s="20">
        <v>508</v>
      </c>
      <c r="G134" s="21">
        <v>0.97</v>
      </c>
      <c r="H134" s="22">
        <v>9E-176</v>
      </c>
      <c r="I134" s="20">
        <v>60.49</v>
      </c>
      <c r="J134" s="20">
        <v>415</v>
      </c>
      <c r="K134" s="20" t="str">
        <f>HYPERLINK("https://www.ncbi.nlm.nih.gov/protein/WP_282710340.1?report=genbank&amp;log$=prottop&amp;blast_rank=240&amp;RID=AS4RWFEC013","WP_282710340.1")</f>
        <v>WP_282710340.1</v>
      </c>
      <c r="L134" s="20"/>
    </row>
    <row r="135" spans="1:12">
      <c r="A135" s="20" t="s">
        <v>615</v>
      </c>
      <c r="B135" s="20" t="str">
        <f>VLOOKUP(A135,'Table S6A'!A:C,2,FALSE)</f>
        <v> Bacillota</v>
      </c>
      <c r="C135" s="20" t="str">
        <f>VLOOKUP(A135,'Table S6A'!A:C,3,FALSE)</f>
        <v>Eubacteriales Family XIII. Incertae Sedis</v>
      </c>
      <c r="D135" s="20" t="str">
        <f>VLOOKUP(A135,'Table S6B'!A:E,4,FALSE)</f>
        <v>human feces</v>
      </c>
      <c r="E135" s="20" t="str">
        <f>VLOOKUP(A135,'Table S6B'!A:E,5,FALSE)</f>
        <v>Gastrointestinal tract</v>
      </c>
      <c r="F135" s="20">
        <v>587</v>
      </c>
      <c r="G135" s="21">
        <v>0.98</v>
      </c>
      <c r="H135" s="20">
        <v>0</v>
      </c>
      <c r="I135" s="20">
        <v>67.8</v>
      </c>
      <c r="J135" s="20">
        <v>412</v>
      </c>
      <c r="K135" s="20" t="str">
        <f>HYPERLINK("https://www.ncbi.nlm.nih.gov/protein/WP_177270906.1?report=genbank&amp;log$=prottop&amp;blast_rank=123&amp;RID=AS4RWFEC013","WP_177270906.1")</f>
        <v>WP_177270906.1</v>
      </c>
      <c r="L135" s="20"/>
    </row>
    <row r="136" spans="1:12">
      <c r="A136" s="20" t="s">
        <v>616</v>
      </c>
      <c r="B136" s="20" t="str">
        <f>VLOOKUP(A136,'Table S6A'!A:C,2,FALSE)</f>
        <v> Bacillota</v>
      </c>
      <c r="C136" s="20" t="str">
        <f>VLOOKUP(A136,'Table S6A'!A:C,3,FALSE)</f>
        <v>Peptoniphilaceae</v>
      </c>
      <c r="D136" s="20" t="str">
        <f>VLOOKUP(A136,'Table S6B'!A:E,4,FALSE)</f>
        <v>biogas system</v>
      </c>
      <c r="E136" s="20" t="str">
        <f>VLOOKUP(A136,'Table S6B'!A:E,5,FALSE)</f>
        <v>Environmental</v>
      </c>
      <c r="F136" s="20">
        <v>625</v>
      </c>
      <c r="G136" s="21">
        <v>0.98</v>
      </c>
      <c r="H136" s="20">
        <v>0</v>
      </c>
      <c r="I136" s="20">
        <v>71.95</v>
      </c>
      <c r="J136" s="20">
        <v>419</v>
      </c>
      <c r="K136" s="20" t="str">
        <f>HYPERLINK("https://www.ncbi.nlm.nih.gov/protein/WP_243661081.1?report=genbank&amp;log$=prottop&amp;blast_rank=73&amp;RID=AS4RWFEC013","WP_243661081.1")</f>
        <v>WP_243661081.1</v>
      </c>
      <c r="L136" s="20"/>
    </row>
    <row r="137" spans="1:12">
      <c r="A137" s="20" t="s">
        <v>618</v>
      </c>
      <c r="B137" s="20" t="str">
        <f>VLOOKUP(A137,'Table S6A'!A:C,2,FALSE)</f>
        <v> Bacillota</v>
      </c>
      <c r="C137" s="20" t="str">
        <f>VLOOKUP(A137,'Table S6A'!A:C,3,FALSE)</f>
        <v>Eubacteriales Family XIII. Incertae Sedis</v>
      </c>
      <c r="D137" s="20" t="str">
        <f>VLOOKUP(A137,'Table S6B'!A:E,4,FALSE)</f>
        <v>biogas system</v>
      </c>
      <c r="E137" s="20" t="str">
        <f>VLOOKUP(A137,'Table S6B'!A:E,5,FALSE)</f>
        <v>Environmental</v>
      </c>
      <c r="F137" s="20">
        <v>493</v>
      </c>
      <c r="G137" s="21">
        <v>0.98</v>
      </c>
      <c r="H137" s="22">
        <v>3.0000000000000001E-170</v>
      </c>
      <c r="I137" s="20">
        <v>57.11</v>
      </c>
      <c r="J137" s="20">
        <v>419</v>
      </c>
      <c r="K137" s="20" t="str">
        <f>HYPERLINK("https://www.ncbi.nlm.nih.gov/protein/MBQ6456324.1?report=genbank&amp;log$=prottop&amp;blast_rank=293&amp;RID=AS4RWFEC013","MBQ6456324.1")</f>
        <v>MBQ6456324.1</v>
      </c>
      <c r="L137" s="20"/>
    </row>
    <row r="138" spans="1:12">
      <c r="A138" s="20" t="s">
        <v>619</v>
      </c>
      <c r="B138" s="20" t="str">
        <f>VLOOKUP(A138,'Table S6A'!A:C,2,FALSE)</f>
        <v> Bacillota</v>
      </c>
      <c r="C138" s="20" t="str">
        <f>VLOOKUP(A138,'Table S6A'!A:C,3,FALSE)</f>
        <v>Clostridiaceae</v>
      </c>
      <c r="D138" s="20" t="str">
        <f>VLOOKUP(A138,'Table S6B'!A:E,4,FALSE)</f>
        <v>soda lake</v>
      </c>
      <c r="E138" s="20" t="str">
        <f>VLOOKUP(A138,'Table S6B'!A:E,5,FALSE)</f>
        <v>Environmental</v>
      </c>
      <c r="F138" s="20">
        <v>582</v>
      </c>
      <c r="G138" s="21">
        <v>0.98</v>
      </c>
      <c r="H138" s="20">
        <v>0</v>
      </c>
      <c r="I138" s="20">
        <v>65.86</v>
      </c>
      <c r="J138" s="20">
        <v>416</v>
      </c>
      <c r="K138" s="20" t="str">
        <f>HYPERLINK("https://www.ncbi.nlm.nih.gov/protein/WP_090552769.1?report=genbank&amp;log$=prottop&amp;blast_rank=145&amp;RID=AS4RWFEC013","WP_090552769.1")</f>
        <v>WP_090552769.1</v>
      </c>
      <c r="L138" s="20"/>
    </row>
    <row r="139" spans="1:12">
      <c r="A139" s="20" t="s">
        <v>621</v>
      </c>
      <c r="B139" s="20" t="str">
        <f>VLOOKUP(A139,'Table S6A'!A:C,2,FALSE)</f>
        <v> Bacillota</v>
      </c>
      <c r="C139" s="20" t="str">
        <f>VLOOKUP(A139,'Table S6A'!A:C,3,FALSE)</f>
        <v>Lachnospiraceae</v>
      </c>
      <c r="D139" s="20" t="str">
        <f>VLOOKUP(A139,'Table S6B'!A:E,4,FALSE)</f>
        <v>infant feces</v>
      </c>
      <c r="E139" s="20" t="str">
        <f>VLOOKUP(A139,'Table S6B'!A:E,5,FALSE)</f>
        <v>Gastrointestinal tract</v>
      </c>
      <c r="F139" s="20">
        <v>683</v>
      </c>
      <c r="G139" s="21">
        <v>0.98</v>
      </c>
      <c r="H139" s="20">
        <v>0</v>
      </c>
      <c r="I139" s="20">
        <v>78.45</v>
      </c>
      <c r="J139" s="20">
        <v>413</v>
      </c>
      <c r="K139" s="20" t="str">
        <f>HYPERLINK("https://www.ncbi.nlm.nih.gov/protein/WP_271012268.1?report=genbank&amp;log$=prottop&amp;blast_rank=49&amp;RID=AS4RWFEC013","WP_271012268.1")</f>
        <v>WP_271012268.1</v>
      </c>
      <c r="L139" s="20"/>
    </row>
    <row r="140" spans="1:12">
      <c r="A140" s="20" t="s">
        <v>623</v>
      </c>
      <c r="B140" s="20" t="str">
        <f>VLOOKUP(A140,'Table S6A'!A:C,2,FALSE)</f>
        <v>Thermotogota</v>
      </c>
      <c r="C140" s="20" t="str">
        <f>VLOOKUP(A140,'Table S6A'!A:C,3,FALSE)</f>
        <v>Petrotogaceae</v>
      </c>
      <c r="D140" s="20" t="str">
        <f>VLOOKUP(A140,'Table S6B'!A:E,4,FALSE)</f>
        <v>Oceanotoga</v>
      </c>
      <c r="E140" s="20" t="str">
        <f>VLOOKUP(A140,'Table S6B'!A:E,5,FALSE)</f>
        <v>Environmental</v>
      </c>
      <c r="F140" s="20">
        <v>569</v>
      </c>
      <c r="G140" s="21">
        <v>0.98</v>
      </c>
      <c r="H140" s="20">
        <v>0</v>
      </c>
      <c r="I140" s="20">
        <v>64.650000000000006</v>
      </c>
      <c r="J140" s="20">
        <v>413</v>
      </c>
      <c r="K140" s="20" t="str">
        <f>HYPERLINK("https://www.ncbi.nlm.nih.gov/protein/WP_109604123.1?report=genbank&amp;log$=prottop&amp;blast_rank=170&amp;RID=AS4RWFEC013","WP_109604123.1")</f>
        <v>WP_109604123.1</v>
      </c>
      <c r="L140" s="20"/>
    </row>
    <row r="141" spans="1:12">
      <c r="A141" s="20" t="s">
        <v>625</v>
      </c>
      <c r="B141" s="20" t="str">
        <f>VLOOKUP(A141,'Table S6A'!A:C,2,FALSE)</f>
        <v>Actinomycetota</v>
      </c>
      <c r="C141" s="20" t="str">
        <f>VLOOKUP(A141,'Table S6A'!A:C,3,FALSE)</f>
        <v xml:space="preserve">Atopobiaceae </v>
      </c>
      <c r="D141" s="20" t="str">
        <f>VLOOKUP(A141,'Table S6B'!A:E,4,FALSE)</f>
        <v>bioreactor sludge</v>
      </c>
      <c r="E141" s="20" t="str">
        <f>VLOOKUP(A141,'Table S6B'!A:E,5,FALSE)</f>
        <v>Engineered</v>
      </c>
      <c r="F141" s="20">
        <v>499</v>
      </c>
      <c r="G141" s="21">
        <v>0.97</v>
      </c>
      <c r="H141" s="22">
        <v>1E-172</v>
      </c>
      <c r="I141" s="20">
        <v>58.68</v>
      </c>
      <c r="J141" s="20">
        <v>415</v>
      </c>
      <c r="K141" s="20" t="str">
        <f>HYPERLINK("https://www.ncbi.nlm.nih.gov/protein/MCH3948683.1?report=genbank&amp;log$=prottop&amp;blast_rank=263&amp;RID=AS4RWFEC013","MCH3948683.1")</f>
        <v>MCH3948683.1</v>
      </c>
      <c r="L141" s="20"/>
    </row>
    <row r="142" spans="1:12">
      <c r="A142" s="20" t="s">
        <v>627</v>
      </c>
      <c r="B142" s="20" t="str">
        <f>VLOOKUP(A142,'Table S6A'!A:C,2,FALSE)</f>
        <v>Actinomycetota</v>
      </c>
      <c r="C142" s="20" t="str">
        <f>VLOOKUP(A142,'Table S6A'!A:C,3,FALSE)</f>
        <v xml:space="preserve">Atopobiaceae </v>
      </c>
      <c r="D142" s="20" t="str">
        <f>VLOOKUP(A142,'Table S6B'!A:E,4,FALSE)</f>
        <v>human feces</v>
      </c>
      <c r="E142" s="20" t="str">
        <f>VLOOKUP(A142,'Table S6B'!A:E,5,FALSE)</f>
        <v>Gastrointestinal tract</v>
      </c>
      <c r="F142" s="20">
        <v>496</v>
      </c>
      <c r="G142" s="21">
        <v>0.97</v>
      </c>
      <c r="H142" s="22">
        <v>3E-171</v>
      </c>
      <c r="I142" s="20">
        <v>58.19</v>
      </c>
      <c r="J142" s="20">
        <v>415</v>
      </c>
      <c r="K142" s="20" t="str">
        <f>HYPERLINK("https://www.ncbi.nlm.nih.gov/protein/WP_118110323.1?report=genbank&amp;log$=prottop&amp;blast_rank=280&amp;RID=AS4RWFEC013","WP_118110323.1")</f>
        <v>WP_118110323.1</v>
      </c>
      <c r="L142" s="20"/>
    </row>
    <row r="143" spans="1:12">
      <c r="A143" s="20" t="s">
        <v>628</v>
      </c>
      <c r="B143" s="20" t="str">
        <f>VLOOKUP(A143,'Table S6A'!A:C,2,FALSE)</f>
        <v>Actinomycetota</v>
      </c>
      <c r="C143" s="20" t="str">
        <f>VLOOKUP(A143,'Table S6A'!A:C,3,FALSE)</f>
        <v xml:space="preserve">Atopobiaceae </v>
      </c>
      <c r="D143" s="20" t="str">
        <f>VLOOKUP(A143,'Table S6B'!A:E,4,FALSE)</f>
        <v>sputum sample in the hospital of Timone</v>
      </c>
      <c r="E143" s="20" t="str">
        <f>VLOOKUP(A143,'Table S6B'!A:E,5,FALSE)</f>
        <v>sputum</v>
      </c>
      <c r="F143" s="20">
        <v>478</v>
      </c>
      <c r="G143" s="21">
        <v>0.96</v>
      </c>
      <c r="H143" s="22">
        <v>3.9999999999999998E-164</v>
      </c>
      <c r="I143" s="20">
        <v>56.54</v>
      </c>
      <c r="J143" s="20">
        <v>415</v>
      </c>
      <c r="K143" s="20" t="str">
        <f>HYPERLINK("https://www.ncbi.nlm.nih.gov/protein/WP_130811256.1?report=genbank&amp;log$=prottop&amp;blast_rank=418&amp;RID=AS4RWFEC013","WP_130811256.1")</f>
        <v>WP_130811256.1</v>
      </c>
      <c r="L143" s="20"/>
    </row>
    <row r="144" spans="1:12">
      <c r="A144" s="20" t="s">
        <v>631</v>
      </c>
      <c r="B144" s="20" t="str">
        <f>VLOOKUP(A144,'Table S6A'!A:C,2,FALSE)</f>
        <v>Actinomycetota</v>
      </c>
      <c r="C144" s="20" t="str">
        <f>VLOOKUP(A144,'Table S6A'!A:C,3,FALSE)</f>
        <v xml:space="preserve">Atopobiaceae </v>
      </c>
      <c r="D144" s="20" t="str">
        <f>VLOOKUP(A144,'Table S6B'!A:E,4,FALSE)</f>
        <v>human Oral</v>
      </c>
      <c r="E144" s="20" t="str">
        <f>VLOOKUP(A144,'Table S6B'!A:E,5,FALSE)</f>
        <v>Gastrointestinal tract</v>
      </c>
      <c r="F144" s="20">
        <v>481</v>
      </c>
      <c r="G144" s="21">
        <v>0.97</v>
      </c>
      <c r="H144" s="22">
        <v>2E-165</v>
      </c>
      <c r="I144" s="20">
        <v>58.33</v>
      </c>
      <c r="J144" s="20">
        <v>415</v>
      </c>
      <c r="K144" s="20" t="str">
        <f>HYPERLINK("https://www.ncbi.nlm.nih.gov/protein/WP_050341619.1?report=genbank&amp;log$=prottop&amp;blast_rank=407&amp;RID=AS4RWFEC013","WP_050341619.1")</f>
        <v>WP_050341619.1</v>
      </c>
      <c r="L144" s="20"/>
    </row>
    <row r="145" spans="1:12">
      <c r="A145" s="20" t="s">
        <v>633</v>
      </c>
      <c r="B145" s="20" t="str">
        <f>VLOOKUP(A145,'Table S6A'!A:C,2,FALSE)</f>
        <v>Actinomycetota</v>
      </c>
      <c r="C145" s="20" t="str">
        <f>VLOOKUP(A145,'Table S6A'!A:C,3,FALSE)</f>
        <v xml:space="preserve">Atopobiaceae </v>
      </c>
      <c r="D145" s="20" t="str">
        <f>VLOOKUP(A145,'Table S6B'!A:E,4,FALSE)</f>
        <v>human feces</v>
      </c>
      <c r="E145" s="20" t="str">
        <f>VLOOKUP(A145,'Table S6B'!A:E,5,FALSE)</f>
        <v>Gastrointestinal tract</v>
      </c>
      <c r="F145" s="20">
        <v>525</v>
      </c>
      <c r="G145" s="21">
        <v>0.98</v>
      </c>
      <c r="H145" s="20">
        <v>0</v>
      </c>
      <c r="I145" s="20">
        <v>60.87</v>
      </c>
      <c r="J145" s="20">
        <v>415</v>
      </c>
      <c r="K145" s="20" t="str">
        <f>HYPERLINK("https://www.ncbi.nlm.nih.gov/protein/WP_204831801.1?report=genbank&amp;log$=prottop&amp;blast_rank=209&amp;RID=AS4RWFEC013","WP_204831801.1")</f>
        <v>WP_204831801.1</v>
      </c>
      <c r="L145" s="20"/>
    </row>
    <row r="146" spans="1:12">
      <c r="A146" s="20" t="s">
        <v>634</v>
      </c>
      <c r="B146" s="20" t="str">
        <f>VLOOKUP(A146,'Table S6A'!A:C,2,FALSE)</f>
        <v>Actinomycetota</v>
      </c>
      <c r="C146" s="20" t="str">
        <f>VLOOKUP(A146,'Table S6A'!A:C,3,FALSE)</f>
        <v xml:space="preserve">Atopobiaceae </v>
      </c>
      <c r="D146" s="20" t="str">
        <f>VLOOKUP(A146,'Table S6B'!A:E,4,FALSE)</f>
        <v>human Vagina</v>
      </c>
      <c r="E146" s="20" t="str">
        <f>VLOOKUP(A146,'Table S6B'!A:E,5,FALSE)</f>
        <v>Vagina</v>
      </c>
      <c r="F146" s="20">
        <v>487</v>
      </c>
      <c r="G146" s="21">
        <v>0.97</v>
      </c>
      <c r="H146" s="22">
        <v>1E-167</v>
      </c>
      <c r="I146" s="20">
        <v>57.35</v>
      </c>
      <c r="J146" s="20">
        <v>415</v>
      </c>
      <c r="K146" s="20" t="str">
        <f>HYPERLINK("https://www.ncbi.nlm.nih.gov/protein/WP_077598667.1?report=genbank&amp;log$=prottop&amp;blast_rank=389&amp;RID=AS4RWFEC013","WP_077598667.1")</f>
        <v>WP_077598667.1</v>
      </c>
      <c r="L146" s="20"/>
    </row>
    <row r="147" spans="1:12">
      <c r="A147" s="20" t="s">
        <v>637</v>
      </c>
      <c r="B147" s="20" t="str">
        <f>VLOOKUP(A147,'Table S6A'!A:C,2,FALSE)</f>
        <v>Actinomycetota</v>
      </c>
      <c r="C147" s="20" t="str">
        <f>VLOOKUP(A147,'Table S6A'!A:C,3,FALSE)</f>
        <v xml:space="preserve">Atopobiaceae </v>
      </c>
      <c r="D147" s="20" t="str">
        <f>VLOOKUP(A147,'Table S6B'!A:E,4,FALSE)</f>
        <v>Ruminants rumen</v>
      </c>
      <c r="E147" s="20" t="str">
        <f>VLOOKUP(A147,'Table S6B'!A:E,5,FALSE)</f>
        <v>Gastrointestinal tract</v>
      </c>
      <c r="F147" s="20">
        <v>498</v>
      </c>
      <c r="G147" s="21">
        <v>0.96</v>
      </c>
      <c r="H147" s="22">
        <v>4.9999999999999999E-172</v>
      </c>
      <c r="I147" s="20">
        <v>59.51</v>
      </c>
      <c r="J147" s="20">
        <v>415</v>
      </c>
      <c r="K147" s="20" t="str">
        <f>HYPERLINK("https://www.ncbi.nlm.nih.gov/protein/MDD7198906.1?report=genbank&amp;log$=prottop&amp;blast_rank=270&amp;RID=AS4RWFEC013","MDD7198906.1")</f>
        <v>MDD7198906.1</v>
      </c>
      <c r="L147" s="20"/>
    </row>
    <row r="148" spans="1:12">
      <c r="A148" s="20" t="s">
        <v>639</v>
      </c>
      <c r="B148" s="20" t="str">
        <f>VLOOKUP(A148,'Table S6A'!A:C,2,FALSE)</f>
        <v>Actinomycetota</v>
      </c>
      <c r="C148" s="20" t="str">
        <f>VLOOKUP(A148,'Table S6A'!A:C,3,FALSE)</f>
        <v xml:space="preserve">Atopobiaceae </v>
      </c>
      <c r="D148" s="20" t="str">
        <f>VLOOKUP(A148,'Table S6B'!A:E,4,FALSE)</f>
        <v>human feces</v>
      </c>
      <c r="E148" s="20" t="str">
        <f>VLOOKUP(A148,'Table S6B'!A:E,5,FALSE)</f>
        <v>Gastrointestinal tract</v>
      </c>
      <c r="F148" s="20">
        <v>487</v>
      </c>
      <c r="G148" s="21">
        <v>0.96</v>
      </c>
      <c r="H148" s="22">
        <v>6.9999999999999996E-168</v>
      </c>
      <c r="I148" s="20">
        <v>59.51</v>
      </c>
      <c r="J148" s="20">
        <v>415</v>
      </c>
      <c r="K148" s="20" t="str">
        <f>HYPERLINK("https://www.ncbi.nlm.nih.gov/protein/WP_126422816.1?report=genbank&amp;log$=prottop&amp;blast_rank=385&amp;RID=AS4RWFEC013","WP_126422816.1")</f>
        <v>WP_126422816.1</v>
      </c>
      <c r="L148" s="20"/>
    </row>
    <row r="149" spans="1:12">
      <c r="A149" s="20" t="s">
        <v>640</v>
      </c>
      <c r="B149" s="20" t="str">
        <f>VLOOKUP(A149,'Table S6A'!A:C,2,FALSE)</f>
        <v>Actinomycetota</v>
      </c>
      <c r="C149" s="20" t="str">
        <f>VLOOKUP(A149,'Table S6A'!A:C,3,FALSE)</f>
        <v xml:space="preserve">Atopobiaceae </v>
      </c>
      <c r="D149" s="20" t="str">
        <f>VLOOKUP(A149,'Table S6B'!A:E,4,FALSE)</f>
        <v>human feces</v>
      </c>
      <c r="E149" s="20" t="str">
        <f>VLOOKUP(A149,'Table S6B'!A:E,5,FALSE)</f>
        <v>Gastrointestinal tract</v>
      </c>
      <c r="F149" s="20">
        <v>482</v>
      </c>
      <c r="G149" s="21">
        <v>0.96</v>
      </c>
      <c r="H149" s="22">
        <v>8.0000000000000003E-166</v>
      </c>
      <c r="I149" s="20">
        <v>58.52</v>
      </c>
      <c r="J149" s="20">
        <v>415</v>
      </c>
      <c r="K149" s="20" t="str">
        <f>HYPERLINK("https://www.ncbi.nlm.nih.gov/protein/WP_073293576.1?report=genbank&amp;log$=prottop&amp;blast_rank=404&amp;RID=AS4RWFEC013","WP_073293576.1")</f>
        <v>WP_073293576.1</v>
      </c>
      <c r="L149" s="20"/>
    </row>
    <row r="150" spans="1:12">
      <c r="A150" s="20" t="s">
        <v>641</v>
      </c>
      <c r="B150" s="20" t="str">
        <f>VLOOKUP(A150,'Table S6A'!A:C,2,FALSE)</f>
        <v> Bacillota</v>
      </c>
      <c r="C150" s="20" t="str">
        <f>VLOOKUP(A150,'Table S6A'!A:C,3,FALSE)</f>
        <v>Peptoniphilaceae</v>
      </c>
      <c r="D150" s="20" t="str">
        <f>VLOOKUP(A150,'Table S6B'!A:E,4,FALSE)</f>
        <v>human oral</v>
      </c>
      <c r="E150" s="20" t="str">
        <f>VLOOKUP(A150,'Table S6B'!A:E,5,FALSE)</f>
        <v>Gastrointestinal tract</v>
      </c>
      <c r="F150" s="20">
        <v>614</v>
      </c>
      <c r="G150" s="21">
        <v>0.96</v>
      </c>
      <c r="H150" s="20">
        <v>0</v>
      </c>
      <c r="I150" s="20">
        <v>71.92</v>
      </c>
      <c r="J150" s="20">
        <v>416</v>
      </c>
      <c r="K150" s="20" t="str">
        <f>HYPERLINK("https://www.ncbi.nlm.nih.gov/protein/MBS4872602.1?report=genbank&amp;log$=prottop&amp;blast_rank=79&amp;RID=AS4RWFEC013","MBS4872602.1")</f>
        <v>MBS4872602.1</v>
      </c>
      <c r="L150" s="20"/>
    </row>
    <row r="151" spans="1:12">
      <c r="A151" s="20" t="s">
        <v>642</v>
      </c>
      <c r="B151" s="20" t="str">
        <f>VLOOKUP(A151,'Table S6A'!A:C,2,FALSE)</f>
        <v> Bacillota</v>
      </c>
      <c r="C151" s="20" t="str">
        <f>VLOOKUP(A151,'Table S6A'!A:C,3,FALSE)</f>
        <v>Peptoniphilaceae</v>
      </c>
      <c r="D151" s="20" t="str">
        <f>VLOOKUP(A151,'Table S6B'!A:E,4,FALSE)</f>
        <v>human oral</v>
      </c>
      <c r="E151" s="20" t="str">
        <f>VLOOKUP(A151,'Table S6B'!A:E,5,FALSE)</f>
        <v>Gastrointestinal tract</v>
      </c>
      <c r="F151" s="20">
        <v>614</v>
      </c>
      <c r="G151" s="21">
        <v>0.96</v>
      </c>
      <c r="H151" s="20">
        <v>0</v>
      </c>
      <c r="I151" s="20">
        <v>71.67</v>
      </c>
      <c r="J151" s="20">
        <v>416</v>
      </c>
      <c r="K151" s="20" t="str">
        <f>HYPERLINK("https://www.ncbi.nlm.nih.gov/protein/EGS30651.1?report=genbank&amp;log$=prottop&amp;blast_rank=77&amp;RID=AS4RWFEC013","EGS30651.1")</f>
        <v>EGS30651.1</v>
      </c>
      <c r="L151" s="20"/>
    </row>
    <row r="152" spans="1:12">
      <c r="A152" s="20" t="s">
        <v>643</v>
      </c>
      <c r="B152" s="20" t="str">
        <f>VLOOKUP(A152,'Table S6A'!A:C,2,FALSE)</f>
        <v> Bacillota</v>
      </c>
      <c r="C152" s="20" t="str">
        <f>VLOOKUP(A152,'Table S6A'!A:C,3,FALSE)</f>
        <v> Acidaminococcaceae</v>
      </c>
      <c r="D152" s="20" t="str">
        <f>VLOOKUP(A152,'Table S6B'!A:E,4,FALSE)</f>
        <v>human feces</v>
      </c>
      <c r="E152" s="20" t="str">
        <f>VLOOKUP(A152,'Table S6B'!A:E,5,FALSE)</f>
        <v>Gastrointestinal tract</v>
      </c>
      <c r="F152" s="20">
        <v>687</v>
      </c>
      <c r="G152" s="21">
        <v>0.98</v>
      </c>
      <c r="H152" s="20">
        <v>0</v>
      </c>
      <c r="I152" s="20">
        <v>78.45</v>
      </c>
      <c r="J152" s="20">
        <v>413</v>
      </c>
      <c r="K152" s="20" t="str">
        <f>HYPERLINK("https://www.ncbi.nlm.nih.gov/protein/WP_278827685.1?report=genbank&amp;log$=prottop&amp;blast_rank=38&amp;RID=AS4RWFEC013","WP_278827685.1")</f>
        <v>WP_278827685.1</v>
      </c>
      <c r="L152" s="20"/>
    </row>
    <row r="153" spans="1:12">
      <c r="A153" s="20" t="s">
        <v>645</v>
      </c>
      <c r="B153" s="20" t="str">
        <f>VLOOKUP(A153,'Table S6A'!A:C,2,FALSE)</f>
        <v> Bacillota</v>
      </c>
      <c r="C153" s="20" t="str">
        <f>VLOOKUP(A153,'Table S6A'!A:C,3,FALSE)</f>
        <v> Acidaminococcaceae</v>
      </c>
      <c r="D153" s="20" t="str">
        <f>VLOOKUP(A153,'Table S6B'!A:E,4,FALSE)</f>
        <v>wastewater</v>
      </c>
      <c r="E153" s="20" t="str">
        <f>VLOOKUP(A153,'Table S6B'!A:E,5,FALSE)</f>
        <v>Environmental</v>
      </c>
      <c r="F153" s="20">
        <v>686</v>
      </c>
      <c r="G153" s="21">
        <v>0.98</v>
      </c>
      <c r="H153" s="20">
        <v>0</v>
      </c>
      <c r="I153" s="20">
        <v>78.209999999999994</v>
      </c>
      <c r="J153" s="20">
        <v>413</v>
      </c>
      <c r="K153" s="20" t="str">
        <f>HYPERLINK("https://www.ncbi.nlm.nih.gov/protein/WP_287057671.1?report=genbank&amp;log$=prottop&amp;blast_rank=41&amp;RID=AS4RWFEC013","WP_287057671.1")</f>
        <v>WP_287057671.1</v>
      </c>
      <c r="L153" s="20"/>
    </row>
    <row r="154" spans="1:12">
      <c r="A154" s="20" t="s">
        <v>647</v>
      </c>
      <c r="B154" s="20" t="str">
        <f>VLOOKUP(A154,'Table S6A'!A:C,2,FALSE)</f>
        <v> Bacillota</v>
      </c>
      <c r="C154" s="20" t="str">
        <f>VLOOKUP(A154,'Table S6A'!A:C,3,FALSE)</f>
        <v>Oscillospiraceae</v>
      </c>
      <c r="D154" s="20" t="str">
        <f>VLOOKUP(A154,'Table S6B'!A:E,4,FALSE)</f>
        <v>human feces</v>
      </c>
      <c r="E154" s="20" t="str">
        <f>VLOOKUP(A154,'Table S6B'!A:E,5,FALSE)</f>
        <v>Gastrointestinal tract</v>
      </c>
      <c r="F154" s="20">
        <v>597</v>
      </c>
      <c r="G154" s="21">
        <v>0.98</v>
      </c>
      <c r="H154" s="20">
        <v>0</v>
      </c>
      <c r="I154" s="20">
        <v>69.02</v>
      </c>
      <c r="J154" s="20">
        <v>413</v>
      </c>
      <c r="K154" s="20" t="str">
        <f>HYPERLINK("https://www.ncbi.nlm.nih.gov/protein/WP_227706453.1?report=genbank&amp;log$=prottop&amp;blast_rank=102&amp;RID=AS4RWFEC013","WP_227706453.1")</f>
        <v>WP_227706453.1</v>
      </c>
      <c r="L154" s="20"/>
    </row>
    <row r="155" spans="1:12">
      <c r="A155" s="20" t="s">
        <v>648</v>
      </c>
      <c r="B155" s="20" t="str">
        <f>VLOOKUP(A155,'Table S6A'!A:C,2,FALSE)</f>
        <v> Bacillota</v>
      </c>
      <c r="C155" s="20" t="str">
        <f>VLOOKUP(A155,'Table S6A'!A:C,3,FALSE)</f>
        <v>Tissierellia incertae sedis</v>
      </c>
      <c r="D155" s="20" t="str">
        <f>VLOOKUP(A155,'Table S6B'!A:E,4,FALSE)</f>
        <v>eutrophic lake in China</v>
      </c>
      <c r="E155" s="20" t="str">
        <f>VLOOKUP(A155,'Table S6B'!A:E,5,FALSE)</f>
        <v>Environmental</v>
      </c>
      <c r="F155" s="20">
        <v>689</v>
      </c>
      <c r="G155" s="21">
        <v>0.99</v>
      </c>
      <c r="H155" s="20">
        <v>0</v>
      </c>
      <c r="I155" s="20">
        <v>79.709999999999994</v>
      </c>
      <c r="J155" s="20">
        <v>415</v>
      </c>
      <c r="K155" s="20" t="str">
        <f>HYPERLINK("https://www.ncbi.nlm.nih.gov/protein/WP_207236492.1?report=genbank&amp;log$=prottop&amp;blast_rank=35&amp;RID=AS4RWFEC013","WP_207236492.1")</f>
        <v>WP_207236492.1</v>
      </c>
      <c r="L155" s="20"/>
    </row>
    <row r="156" spans="1:12">
      <c r="A156" s="20" t="s">
        <v>651</v>
      </c>
      <c r="B156" s="20" t="str">
        <f>VLOOKUP(A156,'Table S6A'!A:C,2,FALSE)</f>
        <v> Bacillota</v>
      </c>
      <c r="C156" s="20" t="str">
        <f>VLOOKUP(A156,'Table S6A'!A:C,3,FALSE)</f>
        <v>Tissierellaceae</v>
      </c>
      <c r="D156" s="20" t="str">
        <f>VLOOKUP(A156,'Table S6B'!A:E,4,FALSE)</f>
        <v>petroleum reservoir in Azerbaijan</v>
      </c>
      <c r="E156" s="20" t="str">
        <f>VLOOKUP(A156,'Table S6B'!A:E,5,FALSE)</f>
        <v>Environmental</v>
      </c>
      <c r="F156" s="20">
        <v>573</v>
      </c>
      <c r="G156" s="21">
        <v>0.98</v>
      </c>
      <c r="H156" s="20">
        <v>0</v>
      </c>
      <c r="I156" s="20">
        <v>66.59</v>
      </c>
      <c r="J156" s="20">
        <v>412</v>
      </c>
      <c r="K156" s="20" t="str">
        <f>HYPERLINK("https://www.ncbi.nlm.nih.gov/protein/WP_135270274.1?report=genbank&amp;log$=prottop&amp;blast_rank=162&amp;RID=AS4RWFEC013","WP_135270274.1")</f>
        <v>WP_135270274.1</v>
      </c>
      <c r="L156" s="20"/>
    </row>
    <row r="157" spans="1:12">
      <c r="A157" s="20" t="s">
        <v>654</v>
      </c>
      <c r="B157" s="20" t="str">
        <f>VLOOKUP(A157,'Table S6A'!A:C,2,FALSE)</f>
        <v> Bacillota</v>
      </c>
      <c r="C157" s="20" t="str">
        <f>VLOOKUP(A157,'Table S6A'!A:C,3,FALSE)</f>
        <v>Tissierellaceae</v>
      </c>
      <c r="D157" s="20" t="str">
        <f>VLOOKUP(A157,'Table S6B'!A:E,4,FALSE)</f>
        <v>sludge from an anaerobic wastewater treatment plant</v>
      </c>
      <c r="E157" s="20" t="str">
        <f>VLOOKUP(A157,'Table S6B'!A:E,5,FALSE)</f>
        <v>Engineered</v>
      </c>
      <c r="F157" s="20">
        <v>578</v>
      </c>
      <c r="G157" s="21">
        <v>0.98</v>
      </c>
      <c r="H157" s="20">
        <v>0</v>
      </c>
      <c r="I157" s="20">
        <v>67.069999999999993</v>
      </c>
      <c r="J157" s="20">
        <v>412</v>
      </c>
      <c r="K157" s="20" t="str">
        <f>HYPERLINK("https://www.ncbi.nlm.nih.gov/protein/TJX66414.1?report=genbank&amp;log$=prottop&amp;blast_rank=155&amp;RID=AS4RWFEC013","TJX66414.1")</f>
        <v>TJX66414.1</v>
      </c>
      <c r="L157" s="20"/>
    </row>
    <row r="158" spans="1:12">
      <c r="A158" s="20" t="s">
        <v>656</v>
      </c>
      <c r="B158" s="20" t="str">
        <f>VLOOKUP(A158,'Table S6A'!A:C,2,FALSE)</f>
        <v> Bacillota</v>
      </c>
      <c r="C158" s="20" t="str">
        <f>VLOOKUP(A158,'Table S6A'!A:C,3,FALSE)</f>
        <v>Sporanaerobacteraceae</v>
      </c>
      <c r="D158" s="20" t="str">
        <f>VLOOKUP(A158,'Table S6B'!A:E,4,FALSE)</f>
        <v>upflow anaerobic sludge blanket reactor</v>
      </c>
      <c r="E158" s="20" t="str">
        <f>VLOOKUP(A158,'Table S6B'!A:E,5,FALSE)</f>
        <v>Engineered</v>
      </c>
      <c r="F158" s="20">
        <v>608</v>
      </c>
      <c r="G158" s="21">
        <v>0.98</v>
      </c>
      <c r="H158" s="20">
        <v>0</v>
      </c>
      <c r="I158" s="20">
        <v>69.98</v>
      </c>
      <c r="J158" s="20">
        <v>412</v>
      </c>
      <c r="K158" s="20" t="str">
        <f>HYPERLINK("https://www.ncbi.nlm.nih.gov/protein/WP_072744948.1?report=genbank&amp;log$=prottop&amp;blast_rank=85&amp;RID=AS4RWFEC013","WP_072744948.1")</f>
        <v>WP_072744948.1</v>
      </c>
      <c r="L158" s="20"/>
    </row>
    <row r="159" spans="1:12">
      <c r="A159" s="20" t="s">
        <v>658</v>
      </c>
      <c r="B159" s="20" t="str">
        <f>VLOOKUP(A159,'Table S6A'!A:C,2,FALSE)</f>
        <v> Bacillota</v>
      </c>
      <c r="C159" s="20" t="str">
        <f>VLOOKUP(A159,'Table S6A'!A:C,3,FALSE)</f>
        <v>Oscillospiraceae</v>
      </c>
      <c r="D159" s="20" t="str">
        <f>VLOOKUP(A159,'Table S6B'!A:E,4,FALSE)</f>
        <v>human feces</v>
      </c>
      <c r="E159" s="20" t="str">
        <f>VLOOKUP(A159,'Table S6B'!A:E,5,FALSE)</f>
        <v>Gastrointestinal tract</v>
      </c>
      <c r="F159" s="20">
        <v>704</v>
      </c>
      <c r="G159" s="21">
        <v>0.98</v>
      </c>
      <c r="H159" s="20">
        <v>0</v>
      </c>
      <c r="I159" s="20">
        <v>81.31</v>
      </c>
      <c r="J159" s="20">
        <v>413</v>
      </c>
      <c r="K159" s="20" t="str">
        <f>HYPERLINK("https://www.ncbi.nlm.nih.gov/protein/HJG28554.1?report=genbank&amp;log$=prottop&amp;blast_rank=31&amp;RID=AS4RWFEC013","HJG28554.1")</f>
        <v>HJG28554.1</v>
      </c>
      <c r="L159" s="20"/>
    </row>
    <row r="160" spans="1:12">
      <c r="A160" s="20" t="s">
        <v>659</v>
      </c>
      <c r="B160" s="20" t="str">
        <f>VLOOKUP(A160,'Table S6A'!A:C,2,FALSE)</f>
        <v> Bacillota</v>
      </c>
      <c r="C160" s="20" t="str">
        <f>VLOOKUP(A160,'Table S6A'!A:C,3,FALSE)</f>
        <v>Thermoanaerobacterales Family III. Incertae Sedis</v>
      </c>
      <c r="D160" s="20" t="str">
        <f>VLOOKUP(A160,'Table S6B'!A:E,4,FALSE)</f>
        <v>anaerobic filter treating wastewater in a fishmeal factory</v>
      </c>
      <c r="E160" s="20" t="str">
        <f>VLOOKUP(A160,'Table S6B'!A:E,5,FALSE)</f>
        <v>Engineered</v>
      </c>
      <c r="F160" s="20">
        <v>552</v>
      </c>
      <c r="G160" s="21">
        <v>0.97</v>
      </c>
      <c r="H160" s="20">
        <v>0</v>
      </c>
      <c r="I160" s="20">
        <v>63.73</v>
      </c>
      <c r="J160" s="20">
        <v>416</v>
      </c>
      <c r="K160" s="20" t="str">
        <f>HYPERLINK("https://www.ncbi.nlm.nih.gov/protein/WP_044666327.1?report=genbank&amp;log$=prottop&amp;blast_rank=194&amp;RID=AS4RWFEC013","WP_044666327.1")</f>
        <v>WP_044666327.1</v>
      </c>
      <c r="L160" s="20"/>
    </row>
    <row r="161" spans="1:12">
      <c r="A161" s="20" t="s">
        <v>662</v>
      </c>
      <c r="B161" s="20" t="str">
        <f>VLOOKUP(A161,'Table S6A'!A:C,2,FALSE)</f>
        <v> Bacillota</v>
      </c>
      <c r="C161" s="20" t="str">
        <f>VLOOKUP(A161,'Table S6A'!A:C,3,FALSE)</f>
        <v>Syntrophomonadaceae</v>
      </c>
      <c r="D161" s="20" t="str">
        <f>VLOOKUP(A161,'Table S6B'!A:E,4,FALSE)</f>
        <v>anaerobic digester</v>
      </c>
      <c r="E161" s="20" t="str">
        <f>VLOOKUP(A161,'Table S6B'!A:E,5,FALSE)</f>
        <v>Engineered</v>
      </c>
      <c r="F161" s="20">
        <v>561</v>
      </c>
      <c r="G161" s="21">
        <v>0.97</v>
      </c>
      <c r="H161" s="20">
        <v>0</v>
      </c>
      <c r="I161" s="20">
        <v>64.709999999999994</v>
      </c>
      <c r="J161" s="20">
        <v>417</v>
      </c>
      <c r="K161" s="20" t="str">
        <f>HYPERLINK("https://www.ncbi.nlm.nih.gov/protein/HHW30042.1?report=genbank&amp;log$=prottop&amp;blast_rank=184&amp;RID=AS4RWFEC013","HHW30042.1")</f>
        <v>HHW30042.1</v>
      </c>
      <c r="L161" s="20"/>
    </row>
    <row r="162" spans="1:12">
      <c r="A162" s="20" t="s">
        <v>665</v>
      </c>
      <c r="B162" s="20" t="str">
        <f>VLOOKUP(A162,'Table S6A'!A:C,2,FALSE)</f>
        <v> Bacillota</v>
      </c>
      <c r="C162" s="20" t="str">
        <f>VLOOKUP(A162,'Table S6A'!A:C,3,FALSE)</f>
        <v>Syntrophomonadaceae</v>
      </c>
      <c r="D162" s="20" t="str">
        <f>VLOOKUP(A162,'Table S6B'!A:E,4,FALSE)</f>
        <v>fermentation</v>
      </c>
      <c r="E162" s="20" t="str">
        <f>VLOOKUP(A162,'Table S6B'!A:E,5,FALSE)</f>
        <v>Engineered</v>
      </c>
      <c r="F162" s="20">
        <v>665</v>
      </c>
      <c r="G162" s="21">
        <v>0.97</v>
      </c>
      <c r="H162" s="20">
        <v>0</v>
      </c>
      <c r="I162" s="20">
        <v>76.77</v>
      </c>
      <c r="J162" s="20">
        <v>415</v>
      </c>
      <c r="K162" s="20" t="str">
        <f>HYPERLINK("https://www.ncbi.nlm.nih.gov/protein/HBQ86650.1?report=genbank&amp;log$=prottop&amp;blast_rank=64&amp;RID=AS4RWFEC013","HBQ86650.1")</f>
        <v>HBQ86650.1</v>
      </c>
      <c r="L162" s="20"/>
    </row>
    <row r="163" spans="1:12">
      <c r="A163" s="20" t="s">
        <v>667</v>
      </c>
      <c r="B163" s="20" t="str">
        <f>VLOOKUP(A163,'Table S6A'!A:C,2,FALSE)</f>
        <v>Actinomycetota</v>
      </c>
      <c r="C163" s="20" t="str">
        <f>VLOOKUP(A163,'Table S6A'!A:C,3,FALSE)</f>
        <v xml:space="preserve">Atopobiaceae </v>
      </c>
      <c r="D163" s="20" t="str">
        <f>VLOOKUP(A163,'Table S6B'!A:E,4,FALSE)</f>
        <v>mud in a fermentation cellar used for the production of Chinese Luzhou-flavour Baijiu</v>
      </c>
      <c r="E163" s="20" t="str">
        <f>VLOOKUP(A163,'Table S6B'!A:E,5,FALSE)</f>
        <v>Engineered</v>
      </c>
      <c r="F163" s="20">
        <v>515</v>
      </c>
      <c r="G163" s="21">
        <v>0.97</v>
      </c>
      <c r="H163" s="22">
        <v>8.0000000000000002E-179</v>
      </c>
      <c r="I163" s="20">
        <v>62.93</v>
      </c>
      <c r="J163" s="20">
        <v>416</v>
      </c>
      <c r="K163" s="20" t="str">
        <f>HYPERLINK("https://www.ncbi.nlm.nih.gov/protein/WP_194371057.1?report=genbank&amp;log$=prottop&amp;blast_rank=218&amp;RID=AS4RWFEC013","WP_194371057.1")</f>
        <v>WP_194371057.1</v>
      </c>
      <c r="L163" s="20"/>
    </row>
    <row r="164" spans="1:12">
      <c r="A164" s="20" t="s">
        <v>669</v>
      </c>
      <c r="B164" s="20" t="str">
        <f>VLOOKUP(A164,'Table S6A'!A:C,2,FALSE)</f>
        <v> Bacillota</v>
      </c>
      <c r="C164" s="20" t="str">
        <f>VLOOKUP(A164,'Table S6A'!A:C,3,FALSE)</f>
        <v>Tissierellaceae</v>
      </c>
      <c r="D164" s="20" t="str">
        <f>VLOOKUP(A164,'Table S6B'!A:E,4,FALSE)</f>
        <v>human stump wound</v>
      </c>
      <c r="E164" s="20" t="str">
        <f>VLOOKUP(A164,'Table S6B'!A:E,5,FALSE)</f>
        <v>infection</v>
      </c>
      <c r="F164" s="20">
        <v>569</v>
      </c>
      <c r="G164" s="21">
        <v>0.97</v>
      </c>
      <c r="H164" s="20">
        <v>0</v>
      </c>
      <c r="I164" s="20">
        <v>66.67</v>
      </c>
      <c r="J164" s="20">
        <v>413</v>
      </c>
      <c r="K164" s="20" t="str">
        <f>HYPERLINK("https://www.ncbi.nlm.nih.gov/protein/MBU5313712.1?report=genbank&amp;log$=prottop&amp;blast_rank=172&amp;RID=AS4RWFEC013","MBU5313712.1")</f>
        <v>MBU5313712.1</v>
      </c>
      <c r="L164" s="20"/>
    </row>
    <row r="165" spans="1:12">
      <c r="A165" s="20" t="s">
        <v>671</v>
      </c>
      <c r="B165" s="20" t="str">
        <f>VLOOKUP(A165,'Table S6A'!A:C,2,FALSE)</f>
        <v> Bacillota</v>
      </c>
      <c r="C165" s="20" t="str">
        <f>VLOOKUP(A165,'Table S6A'!A:C,3,FALSE)</f>
        <v>Tissierellaceae</v>
      </c>
      <c r="D165" s="20" t="str">
        <f>VLOOKUP(A165,'Table S6B'!A:E,4,FALSE)</f>
        <v>human stump wound</v>
      </c>
      <c r="E165" s="20" t="str">
        <f>VLOOKUP(A165,'Table S6B'!A:E,5,FALSE)</f>
        <v>infection</v>
      </c>
      <c r="F165" s="20">
        <v>566</v>
      </c>
      <c r="G165" s="21">
        <v>0.97</v>
      </c>
      <c r="H165" s="20">
        <v>0</v>
      </c>
      <c r="I165" s="20">
        <v>66.180000000000007</v>
      </c>
      <c r="J165" s="20">
        <v>412</v>
      </c>
      <c r="K165" s="20" t="str">
        <f>HYPERLINK("https://www.ncbi.nlm.nih.gov/protein/MSU01132.1?report=genbank&amp;log$=prottop&amp;blast_rank=180&amp;RID=AS4RWFEC013","MSU01132.1")</f>
        <v>MSU01132.1</v>
      </c>
      <c r="L165" s="20"/>
    </row>
    <row r="166" spans="1:12">
      <c r="A166" s="20" t="s">
        <v>672</v>
      </c>
      <c r="B166" s="20" t="str">
        <f>VLOOKUP(A166,'Table S6A'!A:C,2,FALSE)</f>
        <v> Bacillota</v>
      </c>
      <c r="C166" s="20" t="str">
        <f>VLOOKUP(A166,'Table S6A'!A:C,3,FALSE)</f>
        <v>Tissierellaceae</v>
      </c>
      <c r="D166" s="20" t="str">
        <f>VLOOKUP(A166,'Table S6B'!A:E,4,FALSE)</f>
        <v>leg wound</v>
      </c>
      <c r="E166" s="20" t="str">
        <f>VLOOKUP(A166,'Table S6B'!A:E,5,FALSE)</f>
        <v>infection</v>
      </c>
      <c r="F166" s="20">
        <v>565</v>
      </c>
      <c r="G166" s="21">
        <v>0.98</v>
      </c>
      <c r="H166" s="20">
        <v>0</v>
      </c>
      <c r="I166" s="20">
        <v>65.13</v>
      </c>
      <c r="J166" s="20">
        <v>412</v>
      </c>
      <c r="K166" s="20" t="str">
        <f>HYPERLINK("https://www.ncbi.nlm.nih.gov/protein/WP_072973079.1?report=genbank&amp;log$=prottop&amp;blast_rank=181&amp;RID=AS4RWFEC013","WP_072973079.1")</f>
        <v>WP_072973079.1</v>
      </c>
      <c r="L166" s="20"/>
    </row>
    <row r="167" spans="1:12">
      <c r="A167" s="20" t="s">
        <v>674</v>
      </c>
      <c r="B167" s="20" t="str">
        <f>VLOOKUP(A167,'Table S6A'!A:C,2,FALSE)</f>
        <v> Bacillota</v>
      </c>
      <c r="C167" s="20" t="str">
        <f>VLOOKUP(A167,'Table S6A'!A:C,3,FALSE)</f>
        <v>Tissierellaceae</v>
      </c>
      <c r="D167" s="20" t="str">
        <f>VLOOKUP(A167,'Table S6B'!A:E,4,FALSE)</f>
        <v>monkey feces</v>
      </c>
      <c r="E167" s="20" t="str">
        <f>VLOOKUP(A167,'Table S6B'!A:E,5,FALSE)</f>
        <v>Gastrointestinal tract</v>
      </c>
      <c r="F167" s="20">
        <v>592</v>
      </c>
      <c r="G167" s="21">
        <v>0.98</v>
      </c>
      <c r="H167" s="20">
        <v>0</v>
      </c>
      <c r="I167" s="20">
        <v>68.28</v>
      </c>
      <c r="J167" s="20">
        <v>412</v>
      </c>
      <c r="K167" s="20" t="str">
        <f>HYPERLINK("https://www.ncbi.nlm.nih.gov/protein/WP_216520205.1?report=genbank&amp;log$=prottop&amp;blast_rank=113&amp;RID=AS4RWFEC013","WP_216520205.1")</f>
        <v>WP_216520205.1</v>
      </c>
      <c r="L167" s="20"/>
    </row>
    <row r="168" spans="1:12">
      <c r="A168" s="20" t="s">
        <v>675</v>
      </c>
      <c r="B168" s="20" t="str">
        <f>VLOOKUP(A168,'Table S6A'!A:C,2,FALSE)</f>
        <v> Bacillota</v>
      </c>
      <c r="C168" s="20" t="str">
        <f>VLOOKUP(A168,'Table S6A'!A:C,3,FALSE)</f>
        <v>Tissierellaceae</v>
      </c>
      <c r="D168" s="20" t="str">
        <f>VLOOKUP(A168,'Table S6B'!A:E,4,FALSE)</f>
        <v>copper coins in circulation</v>
      </c>
      <c r="E168" s="20" t="str">
        <f>VLOOKUP(A168,'Table S6B'!A:E,5,FALSE)</f>
        <v>Environmental</v>
      </c>
      <c r="F168" s="20">
        <v>569</v>
      </c>
      <c r="G168" s="21">
        <v>0.97</v>
      </c>
      <c r="H168" s="20">
        <v>0</v>
      </c>
      <c r="I168" s="20">
        <v>66.67</v>
      </c>
      <c r="J168" s="20">
        <v>413</v>
      </c>
      <c r="K168" s="20" t="str">
        <f>HYPERLINK("https://www.ncbi.nlm.nih.gov/protein/WP_094903058.1?report=genbank&amp;log$=prottop&amp;blast_rank=173&amp;RID=AS4RWFEC013","WP_094903058.1")</f>
        <v>WP_094903058.1</v>
      </c>
      <c r="L168" s="20"/>
    </row>
    <row r="169" spans="1:12">
      <c r="A169" s="20" t="s">
        <v>677</v>
      </c>
      <c r="B169" s="20" t="str">
        <f>VLOOKUP(A169,'Table S6A'!A:C,2,FALSE)</f>
        <v> Bacillota</v>
      </c>
      <c r="C169" s="20" t="str">
        <f>VLOOKUP(A169,'Table S6A'!A:C,3,FALSE)</f>
        <v>Tissierellaceae</v>
      </c>
      <c r="D169" s="20" t="str">
        <f>VLOOKUP(A169,'Table S6B'!A:E,4,FALSE)</f>
        <v>oil production facility</v>
      </c>
      <c r="E169" s="20" t="str">
        <f>VLOOKUP(A169,'Table S6B'!A:E,5,FALSE)</f>
        <v>Engineered</v>
      </c>
      <c r="F169" s="20">
        <v>578</v>
      </c>
      <c r="G169" s="21">
        <v>0.98</v>
      </c>
      <c r="H169" s="20">
        <v>0</v>
      </c>
      <c r="I169" s="20">
        <v>67.069999999999993</v>
      </c>
      <c r="J169" s="20">
        <v>412</v>
      </c>
      <c r="K169" s="20" t="str">
        <f>HYPERLINK("https://www.ncbi.nlm.nih.gov/protein/MBC7088124.1?report=genbank&amp;log$=prottop&amp;blast_rank=154&amp;RID=AS4RWFEC013","MBC7088124.1")</f>
        <v>MBC7088124.1</v>
      </c>
      <c r="L169" s="20"/>
    </row>
    <row r="170" spans="1:12">
      <c r="A170" s="20" t="s">
        <v>679</v>
      </c>
      <c r="B170" s="20" t="str">
        <f>VLOOKUP(A170,'Table S6A'!A:C,2,FALSE)</f>
        <v> Bacillota</v>
      </c>
      <c r="C170" s="20" t="str">
        <f>VLOOKUP(A170,'Table S6A'!A:C,3,FALSE)</f>
        <v>Tissierellaceae</v>
      </c>
      <c r="D170" s="20" t="str">
        <f>VLOOKUP(A170,'Table S6B'!A:E,4,FALSE)</f>
        <v>anaerobic digester</v>
      </c>
      <c r="E170" s="20" t="str">
        <f>VLOOKUP(A170,'Table S6B'!A:E,5,FALSE)</f>
        <v>Engineered</v>
      </c>
      <c r="F170" s="20">
        <v>568</v>
      </c>
      <c r="G170" s="21">
        <v>0.97</v>
      </c>
      <c r="H170" s="20">
        <v>0</v>
      </c>
      <c r="I170" s="20">
        <v>66.42</v>
      </c>
      <c r="J170" s="20">
        <v>412</v>
      </c>
      <c r="K170" s="20" t="str">
        <f>HYPERLINK("https://www.ncbi.nlm.nih.gov/protein/NMA85767.1?report=genbank&amp;log$=prottop&amp;blast_rank=175&amp;RID=AS4RWFEC013","NMA85767.1")</f>
        <v>NMA85767.1</v>
      </c>
      <c r="L170" s="20"/>
    </row>
    <row r="171" spans="1:12">
      <c r="A171" s="20" t="s">
        <v>680</v>
      </c>
      <c r="B171" s="20" t="str">
        <f>VLOOKUP(A171,'Table S6A'!A:C,2,FALSE)</f>
        <v> Bacillota</v>
      </c>
      <c r="C171" s="20" t="str">
        <f>VLOOKUP(A171,'Table S6A'!A:C,3,FALSE)</f>
        <v>Tissierellaceae</v>
      </c>
      <c r="D171" s="20" t="str">
        <f>VLOOKUP(A171,'Table S6B'!A:E,4,FALSE)</f>
        <v>human with bacterial vaginosis</v>
      </c>
      <c r="E171" s="20" t="str">
        <f>VLOOKUP(A171,'Table S6B'!A:E,5,FALSE)</f>
        <v>infection</v>
      </c>
      <c r="F171" s="20">
        <v>624</v>
      </c>
      <c r="G171" s="21">
        <v>0.97</v>
      </c>
      <c r="H171" s="20">
        <v>0</v>
      </c>
      <c r="I171" s="20">
        <v>72.73</v>
      </c>
      <c r="J171" s="20">
        <v>416</v>
      </c>
      <c r="K171" s="20" t="str">
        <f>HYPERLINK("https://www.ncbi.nlm.nih.gov/protein/KGF08563.1?report=genbank&amp;log$=prottop&amp;blast_rank=74&amp;RID=AS4RWFEC013","KGF08563.1")</f>
        <v>KGF08563.1</v>
      </c>
      <c r="L171" s="20"/>
    </row>
    <row r="172" spans="1:12">
      <c r="A172" s="20" t="s">
        <v>682</v>
      </c>
      <c r="B172" s="20" t="str">
        <f>VLOOKUP(A172,'Table S6A'!A:C,2,FALSE)</f>
        <v> Bacillota</v>
      </c>
      <c r="C172" s="20" t="str">
        <f>VLOOKUP(A172,'Table S6A'!A:C,3,FALSE)</f>
        <v>Clostridiaceae</v>
      </c>
      <c r="D172" s="20" t="str">
        <f>VLOOKUP(A172,'Table S6B'!A:E,4,FALSE)</f>
        <v>human feces</v>
      </c>
      <c r="E172" s="20" t="str">
        <f>VLOOKUP(A172,'Table S6B'!A:E,5,FALSE)</f>
        <v>Gastrointestinal tract</v>
      </c>
      <c r="F172" s="20">
        <v>573</v>
      </c>
      <c r="G172" s="21">
        <v>0.98</v>
      </c>
      <c r="H172" s="20">
        <v>0</v>
      </c>
      <c r="I172" s="20">
        <v>65.13</v>
      </c>
      <c r="J172" s="20">
        <v>415</v>
      </c>
      <c r="K172" s="20" t="str">
        <f>HYPERLINK("https://www.ncbi.nlm.nih.gov/protein/WP_138309064.1?report=genbank&amp;log$=prottop&amp;blast_rank=163&amp;RID=AS4RWFEC013","WP_138309064.1")</f>
        <v>WP_138309064.1</v>
      </c>
      <c r="L172" s="20"/>
    </row>
    <row r="173" spans="1:12">
      <c r="A173" s="20" t="s">
        <v>683</v>
      </c>
      <c r="B173" s="20" t="str">
        <f>VLOOKUP(A173,'Table S6A'!A:C,2,FALSE)</f>
        <v>Actinomycetota</v>
      </c>
      <c r="C173" s="20" t="str">
        <f>VLOOKUP(A173,'Table S6A'!A:C,3,FALSE)</f>
        <v>Coriobacteriaceae</v>
      </c>
      <c r="D173" s="20" t="str">
        <f>VLOOKUP(A173,'Table S6B'!A:E,4,FALSE)</f>
        <v>human feces</v>
      </c>
      <c r="E173" s="20" t="str">
        <f>VLOOKUP(A173,'Table S6B'!A:E,5,FALSE)</f>
        <v>Gastrointestinal tract</v>
      </c>
      <c r="F173" s="20">
        <v>497</v>
      </c>
      <c r="G173" s="21">
        <v>0.97</v>
      </c>
      <c r="H173" s="22">
        <v>2E-171</v>
      </c>
      <c r="I173" s="20">
        <v>58.92</v>
      </c>
      <c r="J173" s="20">
        <v>425</v>
      </c>
      <c r="K173" s="20" t="str">
        <f>HYPERLINK("https://www.ncbi.nlm.nih.gov/protein/WP_147588765.1?report=genbank&amp;log$=prottop&amp;blast_rank=279&amp;RID=AS4RWFEC013","WP_147588765.1")</f>
        <v>WP_147588765.1</v>
      </c>
      <c r="L173" s="20"/>
    </row>
    <row r="174" spans="1:12">
      <c r="A174" s="20" t="s">
        <v>684</v>
      </c>
      <c r="B174" s="20" t="str">
        <f>VLOOKUP(A174,'Table S6A'!A:C,2,FALSE)</f>
        <v> Bacillota</v>
      </c>
      <c r="C174" s="20"/>
      <c r="D174" s="20" t="str">
        <f>VLOOKUP(A174,'Table S6B'!A:E,4,FALSE)</f>
        <v>chicken gut anaerobes</v>
      </c>
      <c r="E174" s="20" t="str">
        <f>VLOOKUP(A174,'Table S6B'!A:E,5,FALSE)</f>
        <v>Gastrointestinal tract</v>
      </c>
      <c r="F174" s="20">
        <v>714</v>
      </c>
      <c r="G174" s="21">
        <v>0.98</v>
      </c>
      <c r="H174" s="20">
        <v>0</v>
      </c>
      <c r="I174" s="20">
        <v>82.77</v>
      </c>
      <c r="J174" s="20">
        <v>413</v>
      </c>
      <c r="K174" s="20" t="str">
        <f>HYPERLINK("https://www.ncbi.nlm.nih.gov/protein/WP_087183512.1?report=genbank&amp;log$=prottop&amp;blast_rank=13&amp;RID=AS4RWFEC013","WP_087183512.1")</f>
        <v>WP_087183512.1</v>
      </c>
      <c r="L174" s="20"/>
    </row>
    <row r="175" spans="1:12">
      <c r="A175" s="20" t="s">
        <v>686</v>
      </c>
      <c r="B175" s="20" t="str">
        <f>VLOOKUP(A175,'Table S6A'!A:C,2,FALSE)</f>
        <v>Actinomycetota</v>
      </c>
      <c r="C175" s="20" t="str">
        <f>VLOOKUP(A175,'Table S6A'!A:C,3,FALSE)</f>
        <v xml:space="preserve">Atopobiaceae </v>
      </c>
      <c r="D175" s="20" t="str">
        <f>VLOOKUP(A175,'Table S6B'!A:E,4,FALSE)</f>
        <v>bioreactor sludge</v>
      </c>
      <c r="E175" s="20" t="str">
        <f>VLOOKUP(A175,'Table S6B'!A:E,5,FALSE)</f>
        <v>Engineered</v>
      </c>
      <c r="F175" s="20">
        <v>500</v>
      </c>
      <c r="G175" s="21">
        <v>0.97</v>
      </c>
      <c r="H175" s="22">
        <v>5.0000000000000002E-173</v>
      </c>
      <c r="I175" s="20">
        <v>58.68</v>
      </c>
      <c r="J175" s="20">
        <v>415</v>
      </c>
      <c r="K175" s="20" t="str">
        <f>HYPERLINK("https://www.ncbi.nlm.nih.gov/protein/WP_032111769.1?report=genbank&amp;log$=prottop&amp;blast_rank=257&amp;RID=AS4RWFEC013","WP_032111769.1")</f>
        <v>WP_032111769.1</v>
      </c>
      <c r="L175" s="20"/>
    </row>
    <row r="176" spans="1:12">
      <c r="A176" s="20" t="s">
        <v>687</v>
      </c>
      <c r="B176" s="20" t="str">
        <f>VLOOKUP(A176,'Table S6A'!A:C,2,FALSE)</f>
        <v>Actinomycetota</v>
      </c>
      <c r="C176" s="20" t="str">
        <f>VLOOKUP(A176,'Table S6A'!A:C,3,FALSE)</f>
        <v>Actinomycetaceae</v>
      </c>
      <c r="D176" s="20" t="str">
        <f>VLOOKUP(A176,'Table S6B'!A:E,4,FALSE)</f>
        <v>unknown</v>
      </c>
      <c r="E176" s="20">
        <f>VLOOKUP(A176,'Table S6B'!A:E,5,FALSE)</f>
        <v>0</v>
      </c>
      <c r="F176" s="20">
        <v>554</v>
      </c>
      <c r="G176" s="21">
        <v>0.97</v>
      </c>
      <c r="H176" s="20">
        <v>0</v>
      </c>
      <c r="I176" s="20">
        <v>65.28</v>
      </c>
      <c r="J176" s="20">
        <v>412</v>
      </c>
      <c r="K176" s="20" t="str">
        <f>HYPERLINK("https://www.ncbi.nlm.nih.gov/protein/WP_048706812.1?report=genbank&amp;log$=prottop&amp;blast_rank=192&amp;RID=AS4RWFEC013","WP_048706812.1")</f>
        <v>WP_048706812.1</v>
      </c>
      <c r="L176" s="20"/>
    </row>
    <row r="177" spans="1:12">
      <c r="A177" s="20" t="s">
        <v>688</v>
      </c>
      <c r="B177" s="20" t="str">
        <f>VLOOKUP(A177,'Table S6A'!A:C,2,FALSE)</f>
        <v> Bacillota</v>
      </c>
      <c r="C177" s="20" t="str">
        <f>VLOOKUP(A177,'Table S6A'!A:C,3,FALSE)</f>
        <v>Lachnospiraceae</v>
      </c>
      <c r="D177" s="20" t="str">
        <f>VLOOKUP(A177,'Table S6B'!A:E,4,FALSE)</f>
        <v>human feces</v>
      </c>
      <c r="E177" s="20" t="str">
        <f>VLOOKUP(A177,'Table S6B'!A:E,5,FALSE)</f>
        <v>Gastrointestinal tract</v>
      </c>
      <c r="F177" s="20">
        <v>604</v>
      </c>
      <c r="G177" s="21">
        <v>0.98</v>
      </c>
      <c r="H177" s="20">
        <v>0</v>
      </c>
      <c r="I177" s="20">
        <v>71.08</v>
      </c>
      <c r="J177" s="20">
        <v>417</v>
      </c>
      <c r="K177" s="20" t="str">
        <f>HYPERLINK("https://www.ncbi.nlm.nih.gov/protein/WP_288884238.1?report=genbank&amp;log$=prottop&amp;blast_rank=88&amp;RID=AS4RWFEC013","WP_288884238.1")</f>
        <v>WP_288884238.1</v>
      </c>
      <c r="L177" s="20"/>
    </row>
    <row r="178" spans="1:12">
      <c r="A178" s="20" t="s">
        <v>689</v>
      </c>
      <c r="B178" s="20" t="str">
        <f>VLOOKUP(A178,'Table S6A'!A:C,2,FALSE)</f>
        <v> Bacillota</v>
      </c>
      <c r="C178" s="20" t="str">
        <f>VLOOKUP(A178,'Table S6A'!A:C,3,FALSE)</f>
        <v>Clostridiaceae</v>
      </c>
      <c r="D178" s="20" t="str">
        <f>VLOOKUP(A178,'Table S6B'!A:E,4,FALSE)</f>
        <v>human feces</v>
      </c>
      <c r="E178" s="20" t="str">
        <f>VLOOKUP(A178,'Table S6B'!A:E,5,FALSE)</f>
        <v>Gastrointestinal tract</v>
      </c>
      <c r="F178" s="20">
        <v>710</v>
      </c>
      <c r="G178" s="21">
        <v>0.98</v>
      </c>
      <c r="H178" s="20">
        <v>0</v>
      </c>
      <c r="I178" s="20">
        <v>80.87</v>
      </c>
      <c r="J178" s="20">
        <v>413</v>
      </c>
      <c r="K178" s="20" t="str">
        <f>HYPERLINK("https://www.ncbi.nlm.nih.gov/protein/WP_288215497.1?report=genbank&amp;log$=prottop&amp;blast_rank=25&amp;RID=AS4RWFEC013","WP_288215497.1")</f>
        <v>WP_288215497.1</v>
      </c>
      <c r="L178" s="20"/>
    </row>
    <row r="179" spans="1:12">
      <c r="A179" s="20" t="s">
        <v>690</v>
      </c>
      <c r="B179" s="20" t="str">
        <f>VLOOKUP(A179,'Table S6A'!A:C,2,FALSE)</f>
        <v>Actinomycetota</v>
      </c>
      <c r="C179" s="20" t="str">
        <f>VLOOKUP(A179,'Table S6A'!A:C,3,FALSE)</f>
        <v xml:space="preserve">Atopobiaceae </v>
      </c>
      <c r="D179" s="20" t="str">
        <f>VLOOKUP(A179,'Table S6B'!A:E,4,FALSE)</f>
        <v>human feces</v>
      </c>
      <c r="E179" s="20" t="str">
        <f>VLOOKUP(A179,'Table S6B'!A:E,5,FALSE)</f>
        <v>Gastrointestinal tract</v>
      </c>
      <c r="F179" s="20">
        <v>486</v>
      </c>
      <c r="G179" s="21">
        <v>0.96</v>
      </c>
      <c r="H179" s="22">
        <v>2.9999999999999998E-167</v>
      </c>
      <c r="I179" s="20">
        <v>59.26</v>
      </c>
      <c r="J179" s="20">
        <v>415</v>
      </c>
      <c r="K179" s="20" t="str">
        <f>HYPERLINK("https://www.ncbi.nlm.nih.gov/protein/WP_288712825.1?report=genbank&amp;log$=prottop&amp;blast_rank=392&amp;RID=AS4RWFEC013","WP_288712825.1")</f>
        <v>WP_288712825.1</v>
      </c>
      <c r="L179" s="20"/>
    </row>
    <row r="180" spans="1:12">
      <c r="A180" s="20" t="s">
        <v>691</v>
      </c>
      <c r="B180" s="20" t="str">
        <f>VLOOKUP(A180,'Table S6A'!A:C,2,FALSE)</f>
        <v> Bacillota</v>
      </c>
      <c r="C180" s="20" t="str">
        <f>VLOOKUP(A180,'Table S6A'!A:C,3,FALSE)</f>
        <v> Acidaminococcaceae</v>
      </c>
      <c r="D180" s="20" t="str">
        <f>VLOOKUP(A180,'Table S6B'!A:E,4,FALSE)</f>
        <v>human feces</v>
      </c>
      <c r="E180" s="20" t="str">
        <f>VLOOKUP(A180,'Table S6B'!A:E,5,FALSE)</f>
        <v>Gastrointestinal tract</v>
      </c>
      <c r="F180" s="20">
        <v>686</v>
      </c>
      <c r="G180" s="21">
        <v>0.98</v>
      </c>
      <c r="H180" s="20">
        <v>0</v>
      </c>
      <c r="I180" s="20">
        <v>78.45</v>
      </c>
      <c r="J180" s="20">
        <v>413</v>
      </c>
      <c r="K180" s="20" t="str">
        <f>HYPERLINK("https://www.ncbi.nlm.nih.gov/protein/WP_288548416.1?report=genbank&amp;log$=prottop&amp;blast_rank=40&amp;RID=AS4RWFEC013","WP_288548416.1")</f>
        <v>WP_288548416.1</v>
      </c>
      <c r="L180" s="20"/>
    </row>
    <row r="181" spans="1:12">
      <c r="A181" s="20" t="s">
        <v>692</v>
      </c>
      <c r="B181" s="20" t="str">
        <f>VLOOKUP(A181,'Table S6A'!A:C,2,FALSE)</f>
        <v> Bacillota</v>
      </c>
      <c r="C181" s="20" t="str">
        <f>VLOOKUP(A181,'Table S6A'!A:C,3,FALSE)</f>
        <v>Peptoniphilaceae</v>
      </c>
      <c r="D181" s="20" t="str">
        <f>VLOOKUP(A181,'Table S6B'!A:E,4,FALSE)</f>
        <v>urine specimen</v>
      </c>
      <c r="E181" s="20" t="str">
        <f>VLOOKUP(A181,'Table S6B'!A:E,5,FALSE)</f>
        <v>urine</v>
      </c>
      <c r="F181" s="20">
        <v>626</v>
      </c>
      <c r="G181" s="21">
        <v>0.97</v>
      </c>
      <c r="H181" s="20">
        <v>0</v>
      </c>
      <c r="I181" s="20">
        <v>72.97</v>
      </c>
      <c r="J181" s="20">
        <v>416</v>
      </c>
      <c r="K181" s="20" t="str">
        <f>HYPERLINK("https://www.ncbi.nlm.nih.gov/protein/WP_072469397.1?report=genbank&amp;log$=prottop&amp;blast_rank=72&amp;RID=AS4RWFEC013","WP_072469397.1")</f>
        <v>WP_072469397.1</v>
      </c>
      <c r="L181" s="20"/>
    </row>
    <row r="182" spans="1:12">
      <c r="A182" s="20" t="s">
        <v>695</v>
      </c>
      <c r="B182" s="20" t="str">
        <f>VLOOKUP(A182,'Table S6A'!A:C,2,FALSE)</f>
        <v> Bacillota</v>
      </c>
      <c r="C182" s="20" t="str">
        <f>VLOOKUP(A182,'Table S6A'!A:C,3,FALSE)</f>
        <v>Peptoniphilaceae</v>
      </c>
      <c r="D182" s="20" t="str">
        <f>VLOOKUP(A182,'Table S6B'!A:E,4,FALSE)</f>
        <v>human feces</v>
      </c>
      <c r="E182" s="20" t="str">
        <f>VLOOKUP(A182,'Table S6B'!A:E,5,FALSE)</f>
        <v>Gastrointestinal tract</v>
      </c>
      <c r="F182" s="20">
        <v>615</v>
      </c>
      <c r="G182" s="21">
        <v>0.96</v>
      </c>
      <c r="H182" s="20">
        <v>0</v>
      </c>
      <c r="I182" s="20">
        <v>71.67</v>
      </c>
      <c r="J182" s="20">
        <v>416</v>
      </c>
      <c r="K182" s="20" t="str">
        <f>HYPERLINK("https://www.ncbi.nlm.nih.gov/protein/WP_099208952.1?report=genbank&amp;log$=prottop&amp;blast_rank=76&amp;RID=AS4RWFEC013","WP_099208952.1")</f>
        <v>WP_099208952.1</v>
      </c>
      <c r="L182" s="20"/>
    </row>
    <row r="183" spans="1:12">
      <c r="A183" s="20" t="s">
        <v>696</v>
      </c>
      <c r="B183" s="20" t="str">
        <f>VLOOKUP(A183,'Table S6A'!A:C,2,FALSE)</f>
        <v> Bacillota</v>
      </c>
      <c r="C183" s="20" t="str">
        <f>VLOOKUP(A183,'Table S6A'!A:C,3,FALSE)</f>
        <v>Enterococcaceae</v>
      </c>
      <c r="D183" s="20" t="str">
        <f>VLOOKUP(A183,'Table S6B'!A:E,4,FALSE)</f>
        <v>soil beneath a decomposing pig carcass</v>
      </c>
      <c r="E183" s="20" t="str">
        <f>VLOOKUP(A183,'Table S6B'!A:E,5,FALSE)</f>
        <v>infection</v>
      </c>
      <c r="F183" s="20">
        <v>664</v>
      </c>
      <c r="G183" s="21">
        <v>0.97</v>
      </c>
      <c r="H183" s="20">
        <v>0</v>
      </c>
      <c r="I183" s="20">
        <v>76.959999999999994</v>
      </c>
      <c r="J183" s="20">
        <v>412</v>
      </c>
      <c r="K183" s="20" t="str">
        <f>HYPERLINK("https://www.ncbi.nlm.nih.gov/protein/WP_125943698.1?report=genbank&amp;log$=prottop&amp;blast_rank=65&amp;RID=AS4RWFEC013","WP_125943698.1")</f>
        <v>WP_125943698.1</v>
      </c>
      <c r="L183" s="20"/>
    </row>
    <row r="184" spans="1:12">
      <c r="A184" s="20" t="s">
        <v>698</v>
      </c>
      <c r="B184" s="20" t="str">
        <f>VLOOKUP(A184,'Table S6A'!A:C,2,FALSE)</f>
        <v> Bacillota</v>
      </c>
      <c r="C184" s="20" t="str">
        <f>VLOOKUP(A184,'Table S6A'!A:C,3,FALSE)</f>
        <v>Lachnospiraceae</v>
      </c>
      <c r="D184" s="20" t="str">
        <f>VLOOKUP(A184,'Table S6B'!A:E,4,FALSE)</f>
        <v>human feces</v>
      </c>
      <c r="E184" s="20" t="str">
        <f>VLOOKUP(A184,'Table S6B'!A:E,5,FALSE)</f>
        <v>Gastrointestinal tract</v>
      </c>
      <c r="F184" s="20">
        <v>545</v>
      </c>
      <c r="G184" s="21">
        <v>0.97</v>
      </c>
      <c r="H184" s="20">
        <v>0</v>
      </c>
      <c r="I184" s="20">
        <v>64.95</v>
      </c>
      <c r="J184" s="20">
        <v>413</v>
      </c>
      <c r="K184" s="20" t="str">
        <f>HYPERLINK("https://www.ncbi.nlm.nih.gov/protein/MBC8589847.1?report=genbank&amp;log$=prottop&amp;blast_rank=206&amp;RID=AS4RWFEC013","MBC8589847.1")</f>
        <v>MBC8589847.1</v>
      </c>
      <c r="L184" s="20"/>
    </row>
    <row r="185" spans="1:12">
      <c r="A185" s="20" t="s">
        <v>699</v>
      </c>
      <c r="B185" s="20" t="str">
        <f>VLOOKUP(A185,'Table S6A'!A:C,2,FALSE)</f>
        <v>Actinomycetota</v>
      </c>
      <c r="C185" s="20" t="str">
        <f>VLOOKUP(A185,'Table S6A'!A:C,3,FALSE)</f>
        <v>Actinomycetaceae</v>
      </c>
      <c r="D185" s="20" t="str">
        <f>VLOOKUP(A185,'Table S6B'!A:E,4,FALSE)</f>
        <v>unknown</v>
      </c>
      <c r="E185" s="20">
        <f>VLOOKUP(A185,'Table S6B'!A:E,5,FALSE)</f>
        <v>0</v>
      </c>
      <c r="F185" s="20">
        <v>552</v>
      </c>
      <c r="G185" s="21">
        <v>0.97</v>
      </c>
      <c r="H185" s="20">
        <v>0</v>
      </c>
      <c r="I185" s="20">
        <v>64.06</v>
      </c>
      <c r="J185" s="20">
        <v>413</v>
      </c>
      <c r="K185" s="20" t="str">
        <f>HYPERLINK("https://www.ncbi.nlm.nih.gov/protein/WP_024331292.1?report=genbank&amp;log$=prottop&amp;blast_rank=197&amp;RID=AS4RWFEC013","WP_024331292.1")</f>
        <v>WP_024331292.1</v>
      </c>
      <c r="L185" s="20"/>
    </row>
    <row r="186" spans="1:12">
      <c r="A186" s="20" t="s">
        <v>700</v>
      </c>
      <c r="B186" s="20" t="str">
        <f>VLOOKUP(A186,'Table S6A'!A:C,2,FALSE)</f>
        <v> Bacillota</v>
      </c>
      <c r="C186" s="20" t="str">
        <f>VLOOKUP(A186,'Table S6A'!A:C,3,FALSE)</f>
        <v>Eubacteriales Family XIII. Incertae Sedis</v>
      </c>
      <c r="D186" s="20" t="str">
        <f>VLOOKUP(A186,'Table S6B'!A:E,4,FALSE)</f>
        <v>human feces</v>
      </c>
      <c r="E186" s="20" t="str">
        <f>VLOOKUP(A186,'Table S6B'!A:E,5,FALSE)</f>
        <v>Gastrointestinal tract</v>
      </c>
      <c r="F186" s="20">
        <v>564</v>
      </c>
      <c r="G186" s="21">
        <v>0.97</v>
      </c>
      <c r="H186" s="20">
        <v>0</v>
      </c>
      <c r="I186" s="20">
        <v>65.44</v>
      </c>
      <c r="J186" s="20">
        <v>411</v>
      </c>
      <c r="K186" s="20" t="str">
        <f>HYPERLINK("https://www.ncbi.nlm.nih.gov/protein/WP_187302384.1?report=genbank&amp;log$=prottop&amp;blast_rank=182&amp;RID=AS4RWFEC013","WP_187302384.1")</f>
        <v>WP_187302384.1</v>
      </c>
      <c r="L186" s="20"/>
    </row>
  </sheetData>
  <autoFilter ref="A2:K186" xr:uid="{00000000-0009-0000-0000-000007000000}">
    <sortState xmlns:xlrd2="http://schemas.microsoft.com/office/spreadsheetml/2017/richdata2" ref="A2:K186">
      <sortCondition ref="A2:A186"/>
    </sortState>
  </autoFilter>
  <phoneticPr fontId="2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4"/>
  <sheetViews>
    <sheetView workbookViewId="0">
      <selection activeCell="B17" sqref="B17"/>
    </sheetView>
  </sheetViews>
  <sheetFormatPr defaultColWidth="8.875" defaultRowHeight="16.5"/>
  <cols>
    <col min="1" max="1" width="32.375" customWidth="1"/>
    <col min="2" max="2" width="14.875" customWidth="1"/>
    <col min="3" max="3" width="18.875" customWidth="1"/>
    <col min="4" max="5" width="32.375" customWidth="1"/>
    <col min="8" max="8" width="10.625" customWidth="1"/>
    <col min="11" max="11" width="17" customWidth="1"/>
  </cols>
  <sheetData>
    <row r="1" spans="1:12">
      <c r="A1" s="119" t="s">
        <v>737</v>
      </c>
    </row>
    <row r="2" spans="1:12" s="16" customFormat="1">
      <c r="A2" s="18" t="s">
        <v>384</v>
      </c>
      <c r="B2" s="19" t="s">
        <v>385</v>
      </c>
      <c r="C2" s="19" t="s">
        <v>386</v>
      </c>
      <c r="D2" s="19" t="s">
        <v>387</v>
      </c>
      <c r="E2" s="19" t="s">
        <v>388</v>
      </c>
      <c r="F2" s="18" t="s">
        <v>389</v>
      </c>
      <c r="G2" s="18" t="s">
        <v>390</v>
      </c>
      <c r="H2" s="18" t="s">
        <v>391</v>
      </c>
      <c r="I2" s="18" t="s">
        <v>392</v>
      </c>
      <c r="J2" s="18" t="s">
        <v>393</v>
      </c>
      <c r="K2" s="18" t="s">
        <v>394</v>
      </c>
    </row>
    <row r="3" spans="1:12">
      <c r="A3" s="20" t="s">
        <v>395</v>
      </c>
      <c r="B3" s="20" t="str">
        <f>VLOOKUP(A3,'Table S6C'!A:C,2,FALSE)</f>
        <v> Bacillota</v>
      </c>
      <c r="C3" s="20" t="str">
        <f>VLOOKUP(A3,'Table S6C'!A:C,3,FALSE)</f>
        <v>Clostridiaceae</v>
      </c>
      <c r="D3" s="20" t="str">
        <f>VLOOKUP(A3,'Table S6C'!A:E,4,FALSE)</f>
        <v>human feces</v>
      </c>
      <c r="E3" s="20" t="str">
        <f>VLOOKUP(A3,'Table S6C'!A:E,5,FALSE)</f>
        <v>Gastrointestinal tract</v>
      </c>
      <c r="F3" s="20">
        <v>690</v>
      </c>
      <c r="G3" s="21">
        <v>0.99</v>
      </c>
      <c r="H3" s="20">
        <v>0</v>
      </c>
      <c r="I3" s="20">
        <v>82.52</v>
      </c>
      <c r="J3" s="20">
        <v>420</v>
      </c>
      <c r="K3" s="20" t="str">
        <f>HYPERLINK("https://www.ncbi.nlm.nih.gov/protein/WP_042274519.1?report=genbank&amp;log$=prottop&amp;blast_rank=68&amp;RID=AS58GR0S013","WP_042274519.1")</f>
        <v>WP_042274519.1</v>
      </c>
      <c r="L3" s="23"/>
    </row>
    <row r="4" spans="1:12">
      <c r="A4" s="20" t="s">
        <v>400</v>
      </c>
      <c r="B4" s="20" t="str">
        <f>VLOOKUP(A4,'Table S6C'!A:C,2,FALSE)</f>
        <v> Bacillota</v>
      </c>
      <c r="C4" s="20" t="str">
        <f>VLOOKUP(A4,'Table S6C'!A:C,3,FALSE)</f>
        <v>Sporomusaceae</v>
      </c>
      <c r="D4" s="20" t="str">
        <f>VLOOKUP(A4,'Table S6C'!A:E,4,FALSE)</f>
        <v>gut contents of the wood-feeding termite Pterotermes occidentis</v>
      </c>
      <c r="E4" s="20" t="str">
        <f>VLOOKUP(A4,'Table S6C'!A:E,5,FALSE)</f>
        <v>Gastrointestinal tract</v>
      </c>
      <c r="F4" s="20">
        <v>643</v>
      </c>
      <c r="G4" s="21">
        <v>1</v>
      </c>
      <c r="H4" s="20">
        <v>0</v>
      </c>
      <c r="I4" s="20">
        <v>74.33</v>
      </c>
      <c r="J4" s="20">
        <v>413</v>
      </c>
      <c r="K4" s="20" t="str">
        <f>HYPERLINK("https://www.ncbi.nlm.nih.gov/protein/WP_004092743.1?report=genbank&amp;log$=prottop&amp;blast_rank=79&amp;RID=AS58GR0S013","WP_004092743.1")</f>
        <v>WP_004092743.1</v>
      </c>
      <c r="L4" s="23"/>
    </row>
    <row r="5" spans="1:12">
      <c r="A5" s="20" t="s">
        <v>403</v>
      </c>
      <c r="B5" s="20" t="str">
        <f>VLOOKUP(A5,'Table S6C'!A:C,2,FALSE)</f>
        <v> Bacillota</v>
      </c>
      <c r="C5" s="20" t="str">
        <f>VLOOKUP(A5,'Table S6C'!A:C,3,FALSE)</f>
        <v>Acidaminococcaceae</v>
      </c>
      <c r="D5" s="20" t="str">
        <f>VLOOKUP(A5,'Table S6C'!A:E,4,FALSE)</f>
        <v>human feces</v>
      </c>
      <c r="E5" s="20" t="str">
        <f>VLOOKUP(A5,'Table S6C'!A:E,5,FALSE)</f>
        <v>Gastrointestinal tract</v>
      </c>
      <c r="F5" s="20">
        <v>627</v>
      </c>
      <c r="G5" s="21">
        <v>0.83</v>
      </c>
      <c r="H5" s="20">
        <v>0</v>
      </c>
      <c r="I5" s="20">
        <v>86.3</v>
      </c>
      <c r="J5" s="20">
        <v>346</v>
      </c>
      <c r="K5" s="20" t="str">
        <f>HYPERLINK("https://www.ncbi.nlm.nih.gov/protein/MDD3396865.1?report=genbank&amp;log$=prottop&amp;blast_rank=96&amp;RID=AS58GR0S013","MDD3396865.1")</f>
        <v>MDD3396865.1</v>
      </c>
      <c r="L5" s="23"/>
    </row>
    <row r="6" spans="1:12">
      <c r="A6" s="20" t="s">
        <v>405</v>
      </c>
      <c r="B6" s="20" t="str">
        <f>VLOOKUP(A6,'Table S6C'!A:C,2,FALSE)</f>
        <v> Bacillota</v>
      </c>
      <c r="C6" s="20" t="str">
        <f>VLOOKUP(A6,'Table S6C'!A:C,3,FALSE)</f>
        <v>Eubacteriales Family XIII. Incertae Sedis</v>
      </c>
      <c r="D6" s="20" t="str">
        <f>VLOOKUP(A6,'Table S6C'!A:E,4,FALSE)</f>
        <v>the pit mud of strong aromatic Chinese liquor</v>
      </c>
      <c r="E6" s="20" t="str">
        <f>VLOOKUP(A6,'Table S6C'!A:E,5,FALSE)</f>
        <v>Engineered</v>
      </c>
      <c r="F6" s="20">
        <v>702</v>
      </c>
      <c r="G6" s="21">
        <v>0.99</v>
      </c>
      <c r="H6" s="20">
        <v>0</v>
      </c>
      <c r="I6" s="20">
        <v>79.81</v>
      </c>
      <c r="J6" s="20">
        <v>418</v>
      </c>
      <c r="K6" s="20" t="str">
        <f>HYPERLINK("https://www.ncbi.nlm.nih.gov/protein/WP_128746836.1?report=genbank&amp;log$=prottop&amp;blast_rank=67&amp;RID=AS58GR0S013","WP_128746836.1")</f>
        <v>WP_128746836.1</v>
      </c>
      <c r="L6" s="23"/>
    </row>
    <row r="7" spans="1:12">
      <c r="A7" s="20" t="s">
        <v>409</v>
      </c>
      <c r="B7" s="20" t="str">
        <f>VLOOKUP(A7,'Table S6C'!A:C,2,FALSE)</f>
        <v> Bacillota</v>
      </c>
      <c r="C7" s="20" t="str">
        <f>VLOOKUP(A7,'Table S6C'!A:C,3,FALSE)</f>
        <v>Clostridiaceae</v>
      </c>
      <c r="D7" s="20" t="str">
        <f>VLOOKUP(A7,'Table S6C'!A:E,4,FALSE)</f>
        <v xml:space="preserve">salt lake sediment in Xinjiang Province, China </v>
      </c>
      <c r="E7" s="20" t="str">
        <f>VLOOKUP(A7,'Table S6C'!A:E,5,FALSE)</f>
        <v>Environmental</v>
      </c>
      <c r="F7" s="20">
        <v>625</v>
      </c>
      <c r="G7" s="21">
        <v>1</v>
      </c>
      <c r="H7" s="20">
        <v>0</v>
      </c>
      <c r="I7" s="20">
        <v>71.67</v>
      </c>
      <c r="J7" s="20">
        <v>413</v>
      </c>
      <c r="K7" s="20" t="str">
        <f>HYPERLINK("https://www.ncbi.nlm.nih.gov/protein/WP_129595683.1?report=genbank&amp;log$=prottop&amp;blast_rank=102&amp;RID=AS58GR0S013","WP_129595683.1")</f>
        <v>WP_129595683.1</v>
      </c>
      <c r="L7" s="23"/>
    </row>
    <row r="8" spans="1:12">
      <c r="A8" s="20" t="s">
        <v>412</v>
      </c>
      <c r="B8" s="20" t="str">
        <f>VLOOKUP(A8,'Table S6C'!A:C,2,FALSE)</f>
        <v> Bacillota</v>
      </c>
      <c r="C8" s="20" t="str">
        <f>VLOOKUP(A8,'Table S6C'!A:C,3,FALSE)</f>
        <v>Erysipelotrichaceae</v>
      </c>
      <c r="D8" s="20" t="str">
        <f>VLOOKUP(A8,'Table S6C'!A:E,4,FALSE)</f>
        <v xml:space="preserve">mud snails </v>
      </c>
      <c r="E8" s="20" t="str">
        <f>VLOOKUP(A8,'Table S6C'!A:E,5,FALSE)</f>
        <v>Environmental</v>
      </c>
      <c r="F8" s="20">
        <v>733</v>
      </c>
      <c r="G8" s="21">
        <v>0.99</v>
      </c>
      <c r="H8" s="20">
        <v>0</v>
      </c>
      <c r="I8" s="20">
        <v>85.68</v>
      </c>
      <c r="J8" s="20">
        <v>413</v>
      </c>
      <c r="K8" s="20" t="str">
        <f>HYPERLINK("https://www.ncbi.nlm.nih.gov/protein/WP_078712103.1?report=genbank&amp;log$=prottop&amp;blast_rank=46&amp;RID=AS58GR0S013","WP_078712103.1")</f>
        <v>WP_078712103.1</v>
      </c>
      <c r="L8" s="23"/>
    </row>
    <row r="9" spans="1:12">
      <c r="A9" s="20" t="s">
        <v>702</v>
      </c>
      <c r="B9" s="20" t="s">
        <v>396</v>
      </c>
      <c r="C9" s="20" t="str">
        <f>VLOOKUP(A9,'Table S6C'!A:C,3,FALSE)</f>
        <v>Sporanaerobacteraceae</v>
      </c>
      <c r="D9" s="20" t="str">
        <f>VLOOKUP(A9,'Table S6C'!A:E,4,FALSE)</f>
        <v>sludge from waste generated by the recycling of discarded motor oils</v>
      </c>
      <c r="E9" s="20" t="str">
        <f>VLOOKUP(A9,'Table S6C'!A:E,5,FALSE)</f>
        <v>Engineered</v>
      </c>
      <c r="F9" s="20">
        <v>514</v>
      </c>
      <c r="G9" s="21">
        <v>1</v>
      </c>
      <c r="H9" s="22">
        <v>8.9999999999999998E-179</v>
      </c>
      <c r="I9" s="20">
        <v>60.05</v>
      </c>
      <c r="J9" s="20">
        <v>412</v>
      </c>
      <c r="K9" s="20" t="str">
        <f>HYPERLINK("https://www.ncbi.nlm.nih.gov/protein/WP_154483911.1?report=genbank&amp;log$=prottop&amp;blast_rank=225&amp;RID=AS58GR0S013","WP_154483911.1")</f>
        <v>WP_154483911.1</v>
      </c>
      <c r="L9" s="23"/>
    </row>
    <row r="10" spans="1:12">
      <c r="A10" s="20" t="s">
        <v>704</v>
      </c>
      <c r="B10" s="20" t="s">
        <v>396</v>
      </c>
      <c r="C10" s="20" t="str">
        <f>VLOOKUP(A10,'Table S6C'!A:C,3,FALSE)</f>
        <v>Sporanaerobacteraceae</v>
      </c>
      <c r="D10" s="20" t="str">
        <f>VLOOKUP(A10,'Table S6C'!A:E,4,FALSE)</f>
        <v>human feces</v>
      </c>
      <c r="E10" s="20" t="str">
        <f>VLOOKUP(A10,'Table S6C'!A:E,5,FALSE)</f>
        <v>Gastrointestinal tract</v>
      </c>
      <c r="F10" s="20">
        <v>487</v>
      </c>
      <c r="G10" s="21">
        <v>1</v>
      </c>
      <c r="H10" s="22">
        <v>5.9999999999999998E-168</v>
      </c>
      <c r="I10" s="20">
        <v>55.93</v>
      </c>
      <c r="J10" s="20">
        <v>412</v>
      </c>
      <c r="K10" s="20" t="str">
        <f>HYPERLINK("https://www.ncbi.nlm.nih.gov/protein/WP_042681303.1?report=genbank&amp;log$=prottop&amp;blast_rank=391&amp;RID=AS58GR0S013","WP_042681303.1")</f>
        <v>WP_042681303.1</v>
      </c>
      <c r="L10" s="23"/>
    </row>
    <row r="11" spans="1:12">
      <c r="A11" s="20" t="s">
        <v>415</v>
      </c>
      <c r="B11" s="20" t="str">
        <f>VLOOKUP(A11,'Table S6C'!A:C,2,FALSE)</f>
        <v> Bacillota</v>
      </c>
      <c r="C11" s="20" t="str">
        <f>VLOOKUP(A11,'Table S6C'!A:C,3,FALSE)</f>
        <v>Sporanaerobacteraceae</v>
      </c>
      <c r="D11" s="20" t="str">
        <f>VLOOKUP(A11,'Table S6C'!A:E,4,FALSE)</f>
        <v>human feces</v>
      </c>
      <c r="E11" s="20" t="str">
        <f>VLOOKUP(A11,'Table S6C'!A:E,5,FALSE)</f>
        <v>Gastrointestinal tract</v>
      </c>
      <c r="F11" s="20">
        <v>639</v>
      </c>
      <c r="G11" s="21">
        <v>1</v>
      </c>
      <c r="H11" s="20">
        <v>0</v>
      </c>
      <c r="I11" s="20">
        <v>73.37</v>
      </c>
      <c r="J11" s="20">
        <v>413</v>
      </c>
      <c r="K11" s="20" t="str">
        <f>HYPERLINK("https://www.ncbi.nlm.nih.gov/protein/WP_077367917.1?report=genbank&amp;log$=prottop&amp;blast_rank=81&amp;RID=AS58GR0S013","WP_077367917.1")</f>
        <v>WP_077367917.1</v>
      </c>
      <c r="L11" s="23"/>
    </row>
    <row r="12" spans="1:12">
      <c r="A12" s="20" t="s">
        <v>417</v>
      </c>
      <c r="B12" s="20" t="str">
        <f>VLOOKUP(A12,'Table S6C'!A:C,2,FALSE)</f>
        <v> Bacillota</v>
      </c>
      <c r="C12" s="20" t="str">
        <f>VLOOKUP(A12,'Table S6C'!A:C,3,FALSE)</f>
        <v>Eubacteriales Family XIII. Incertae Sedis</v>
      </c>
      <c r="D12" s="20" t="str">
        <f>VLOOKUP(A12,'Table S6C'!A:E,4,FALSE)</f>
        <v>brackish water sediment</v>
      </c>
      <c r="E12" s="20" t="str">
        <f>VLOOKUP(A12,'Table S6C'!A:E,5,FALSE)</f>
        <v>Environmental</v>
      </c>
      <c r="F12" s="20">
        <v>597</v>
      </c>
      <c r="G12" s="21">
        <v>0.99</v>
      </c>
      <c r="H12" s="20">
        <v>0</v>
      </c>
      <c r="I12" s="20">
        <v>68.05</v>
      </c>
      <c r="J12" s="20">
        <v>411</v>
      </c>
      <c r="K12" s="20" t="str">
        <f>HYPERLINK("https://www.ncbi.nlm.nih.gov/protein/WP_256131544.1?report=genbank&amp;log$=prottop&amp;blast_rank=174&amp;RID=AS58GR0S013","WP_256131544.1")</f>
        <v>WP_256131544.1</v>
      </c>
      <c r="L12" s="23"/>
    </row>
    <row r="13" spans="1:12" ht="17.25" customHeight="1">
      <c r="A13" s="20" t="s">
        <v>419</v>
      </c>
      <c r="B13" s="20" t="str">
        <f>VLOOKUP(A13,'Table S6C'!A:C,2,FALSE)</f>
        <v>Actinomycetota</v>
      </c>
      <c r="C13" s="20" t="str">
        <f>VLOOKUP(A13,'Table S6C'!A:C,3,FALSE)</f>
        <v xml:space="preserve">Atopobiaceae </v>
      </c>
      <c r="D13" s="20" t="str">
        <f>VLOOKUP(A13,'Table S6C'!A:E,4,FALSE)</f>
        <v>human oral or gut microbiota</v>
      </c>
      <c r="E13" s="20" t="str">
        <f>VLOOKUP(A13,'Table S6C'!A:E,5,FALSE)</f>
        <v>Gastrointestinal tract</v>
      </c>
      <c r="F13" s="20">
        <v>488</v>
      </c>
      <c r="G13" s="21">
        <v>1</v>
      </c>
      <c r="H13" s="22">
        <v>4.0000000000000002E-168</v>
      </c>
      <c r="I13" s="20">
        <v>57.49</v>
      </c>
      <c r="J13" s="20">
        <v>415</v>
      </c>
      <c r="K13" s="20" t="str">
        <f>HYPERLINK("https://www.ncbi.nlm.nih.gov/protein/WP_081933327.1?report=genbank&amp;log$=prottop&amp;blast_rank=385&amp;RID=AS58GR0S013","WP_081933327.1")</f>
        <v>WP_081933327.1</v>
      </c>
      <c r="L13" s="23"/>
    </row>
    <row r="14" spans="1:12">
      <c r="A14" s="20" t="s">
        <v>423</v>
      </c>
      <c r="B14" s="20" t="str">
        <f>VLOOKUP(A14,'Table S6C'!A:C,2,FALSE)</f>
        <v>Actinomycetota</v>
      </c>
      <c r="C14" s="20" t="str">
        <f>VLOOKUP(A14,'Table S6C'!A:C,3,FALSE)</f>
        <v xml:space="preserve">Atopobiaceae </v>
      </c>
      <c r="D14" s="20" t="str">
        <f>VLOOKUP(A14,'Table S6C'!A:E,4,FALSE)</f>
        <v>blood of a patient with Fournier’s gangrene</v>
      </c>
      <c r="E14" s="20" t="str">
        <f>VLOOKUP(A14,'Table S6C'!A:E,5,FALSE)</f>
        <v>infection</v>
      </c>
      <c r="F14" s="20">
        <v>495</v>
      </c>
      <c r="G14" s="21">
        <v>0.99</v>
      </c>
      <c r="H14" s="22">
        <v>5.9999999999999999E-171</v>
      </c>
      <c r="I14" s="20">
        <v>59.71</v>
      </c>
      <c r="J14" s="20">
        <v>415</v>
      </c>
      <c r="K14" s="20" t="str">
        <f>HYPERLINK("https://www.ncbi.nlm.nih.gov/protein/WP_066306350.1?report=genbank&amp;log$=prottop&amp;blast_rank=357&amp;RID=AS58GR0S013","WP_066306350.1")</f>
        <v>WP_066306350.1</v>
      </c>
      <c r="L14" s="23"/>
    </row>
    <row r="15" spans="1:12">
      <c r="A15" s="20" t="s">
        <v>426</v>
      </c>
      <c r="B15" s="20" t="str">
        <f>VLOOKUP(A15,'Table S6C'!A:C,2,FALSE)</f>
        <v>Actinomycetota</v>
      </c>
      <c r="C15" s="20" t="str">
        <f>VLOOKUP(A15,'Table S6C'!A:C,3,FALSE)</f>
        <v xml:space="preserve">Atopobiaceae </v>
      </c>
      <c r="D15" s="20" t="str">
        <f>VLOOKUP(A15,'Table S6C'!A:E,4,FALSE)</f>
        <v>horse, submandilar abscess</v>
      </c>
      <c r="E15" s="20" t="str">
        <f>VLOOKUP(A15,'Table S6C'!A:E,5,FALSE)</f>
        <v>infection</v>
      </c>
      <c r="F15" s="20">
        <v>519</v>
      </c>
      <c r="G15" s="21">
        <v>0.99</v>
      </c>
      <c r="H15" s="22">
        <v>2E-180</v>
      </c>
      <c r="I15" s="20">
        <v>62.62</v>
      </c>
      <c r="J15" s="20">
        <v>415</v>
      </c>
      <c r="K15" s="20" t="str">
        <f>HYPERLINK("https://www.ncbi.nlm.nih.gov/protein/WP_028263724.1?report=genbank&amp;log$=prottop&amp;blast_rank=216&amp;RID=AS58GR0S013","WP_028263724.1")</f>
        <v>WP_028263724.1</v>
      </c>
      <c r="L15" s="23"/>
    </row>
    <row r="16" spans="1:12">
      <c r="A16" s="20" t="s">
        <v>428</v>
      </c>
      <c r="B16" s="20" t="str">
        <f>VLOOKUP(A16,'Table S6C'!A:C,2,FALSE)</f>
        <v>Actinomycetota</v>
      </c>
      <c r="C16" s="20" t="str">
        <f>VLOOKUP(A16,'Table S6C'!A:C,3,FALSE)</f>
        <v xml:space="preserve">Atopobiaceae </v>
      </c>
      <c r="D16" s="20" t="str">
        <f>VLOOKUP(A16,'Table S6C'!A:E,4,FALSE)</f>
        <v>a perineal abscess</v>
      </c>
      <c r="E16" s="20" t="str">
        <f>VLOOKUP(A16,'Table S6C'!A:E,5,FALSE)</f>
        <v>infection</v>
      </c>
      <c r="F16" s="20">
        <v>491</v>
      </c>
      <c r="G16" s="21">
        <v>0.97</v>
      </c>
      <c r="H16" s="22">
        <v>2E-169</v>
      </c>
      <c r="I16" s="20">
        <v>59.06</v>
      </c>
      <c r="J16" s="20">
        <v>406</v>
      </c>
      <c r="K16" s="20" t="str">
        <f>HYPERLINK("https://www.ncbi.nlm.nih.gov/protein/KRN55347.1?report=genbank&amp;log$=prottop&amp;blast_rank=371&amp;RID=AS58GR0S013","KRN55347.1")</f>
        <v>KRN55347.1</v>
      </c>
      <c r="L16" s="23"/>
    </row>
    <row r="17" spans="1:12">
      <c r="A17" s="20" t="s">
        <v>430</v>
      </c>
      <c r="B17" s="20" t="str">
        <f>VLOOKUP(A17,'Table S6C'!A:C,2,FALSE)</f>
        <v>Actinomycetota</v>
      </c>
      <c r="C17" s="20" t="str">
        <f>VLOOKUP(A17,'Table S6C'!A:C,3,FALSE)</f>
        <v xml:space="preserve">Atopobiaceae </v>
      </c>
      <c r="D17" s="20" t="str">
        <f>VLOOKUP(A17,'Table S6C'!A:E,4,FALSE)</f>
        <v>human oral</v>
      </c>
      <c r="E17" s="20" t="str">
        <f>VLOOKUP(A17,'Table S6C'!A:E,5,FALSE)</f>
        <v>Gastrointestinal tract</v>
      </c>
      <c r="F17" s="20">
        <v>502</v>
      </c>
      <c r="G17" s="21">
        <v>1</v>
      </c>
      <c r="H17" s="22">
        <v>8.9999999999999993E-174</v>
      </c>
      <c r="I17" s="20">
        <v>59.9</v>
      </c>
      <c r="J17" s="20">
        <v>415</v>
      </c>
      <c r="K17" s="20" t="str">
        <f>HYPERLINK("https://www.ncbi.nlm.nih.gov/protein/MBF0947894.1?report=genbank&amp;log$=prottop&amp;blast_rank=322&amp;RID=AS58GR0S013","MBF0947894.1")</f>
        <v>MBF0947894.1</v>
      </c>
      <c r="L17" s="23"/>
    </row>
    <row r="18" spans="1:12">
      <c r="A18" s="20" t="s">
        <v>432</v>
      </c>
      <c r="B18" s="20" t="str">
        <f>VLOOKUP(A18,'Table S6C'!A:C,2,FALSE)</f>
        <v>Actinomycetota</v>
      </c>
      <c r="C18" s="20" t="str">
        <f>VLOOKUP(A18,'Table S6C'!A:C,3,FALSE)</f>
        <v xml:space="preserve">Atopobiaceae </v>
      </c>
      <c r="D18" s="20" t="str">
        <f>VLOOKUP(A18,'Table S6C'!A:E,4,FALSE)</f>
        <v>the gut of a termite</v>
      </c>
      <c r="E18" s="20" t="str">
        <f>VLOOKUP(A18,'Table S6C'!A:E,5,FALSE)</f>
        <v>Gastrointestinal tract</v>
      </c>
      <c r="F18" s="20">
        <v>502</v>
      </c>
      <c r="G18" s="21">
        <v>1</v>
      </c>
      <c r="H18" s="22">
        <v>1E-173</v>
      </c>
      <c r="I18" s="20">
        <v>59.9</v>
      </c>
      <c r="J18" s="20">
        <v>415</v>
      </c>
      <c r="K18" s="20" t="str">
        <f>HYPERLINK("https://www.ncbi.nlm.nih.gov/protein/WP_035435661.1?report=genbank&amp;log$=prottop&amp;blast_rank=328&amp;RID=AS58GR0S013","WP_035435661.1")</f>
        <v>WP_035435661.1</v>
      </c>
      <c r="L18" s="23"/>
    </row>
    <row r="19" spans="1:12">
      <c r="A19" s="20" t="s">
        <v>434</v>
      </c>
      <c r="B19" s="20" t="str">
        <f>VLOOKUP(A19,'Table S6C'!A:C,2,FALSE)</f>
        <v>Actinomycetota</v>
      </c>
      <c r="C19" s="20" t="str">
        <f>VLOOKUP(A19,'Table S6C'!A:C,3,FALSE)</f>
        <v xml:space="preserve">Atopobiaceae </v>
      </c>
      <c r="D19" s="20" t="str">
        <f>VLOOKUP(A19,'Table S6C'!A:E,4,FALSE)</f>
        <v>the gut of a termite </v>
      </c>
      <c r="E19" s="20" t="str">
        <f>VLOOKUP(A19,'Table S6C'!A:E,5,FALSE)</f>
        <v>Gastrointestinal tract</v>
      </c>
      <c r="F19" s="20">
        <v>501</v>
      </c>
      <c r="G19" s="21">
        <v>1</v>
      </c>
      <c r="H19" s="22">
        <v>2.0000000000000001E-173</v>
      </c>
      <c r="I19" s="20">
        <v>59.66</v>
      </c>
      <c r="J19" s="20">
        <v>415</v>
      </c>
      <c r="K19" s="20" t="str">
        <f>HYPERLINK("https://www.ncbi.nlm.nih.gov/protein/WP_035428407.1?report=genbank&amp;log$=prottop&amp;blast_rank=332&amp;RID=AS58GR0S013","WP_035428407.1")</f>
        <v>WP_035428407.1</v>
      </c>
      <c r="L19" s="23"/>
    </row>
    <row r="20" spans="1:12">
      <c r="A20" s="20" t="s">
        <v>436</v>
      </c>
      <c r="B20" s="20" t="str">
        <f>VLOOKUP(A20,'Table S6C'!A:C,2,FALSE)</f>
        <v>Actinomycetota</v>
      </c>
      <c r="C20" s="20" t="str">
        <f>VLOOKUP(A20,'Table S6C'!A:C,3,FALSE)</f>
        <v xml:space="preserve">Atopobiaceae </v>
      </c>
      <c r="D20" s="20" t="str">
        <f>VLOOKUP(A20,'Table S6C'!A:E,4,FALSE)</f>
        <v>human oral cavity </v>
      </c>
      <c r="E20" s="20" t="str">
        <f>VLOOKUP(A20,'Table S6C'!A:E,5,FALSE)</f>
        <v>Gastrointestinal tract</v>
      </c>
      <c r="F20" s="20">
        <v>502</v>
      </c>
      <c r="G20" s="21">
        <v>1</v>
      </c>
      <c r="H20" s="22">
        <v>1E-173</v>
      </c>
      <c r="I20" s="20">
        <v>60.14</v>
      </c>
      <c r="J20" s="20">
        <v>415</v>
      </c>
      <c r="K20" s="20" t="str">
        <f>HYPERLINK("https://www.ncbi.nlm.nih.gov/protein/WP_016478099.1?report=genbank&amp;log$=prottop&amp;blast_rank=329&amp;RID=AS58GR0S013","WP_016478099.1")</f>
        <v>WP_016478099.1</v>
      </c>
      <c r="L20" s="23"/>
    </row>
    <row r="21" spans="1:12">
      <c r="A21" s="20" t="s">
        <v>438</v>
      </c>
      <c r="B21" s="20" t="str">
        <f>VLOOKUP(A21,'Table S6C'!A:C,2,FALSE)</f>
        <v>Bacteroidota</v>
      </c>
      <c r="C21" s="20" t="str">
        <f>VLOOKUP(A21,'Table S6C'!A:C,3,FALSE)</f>
        <v>unclassified Bacteroidales</v>
      </c>
      <c r="D21" s="20" t="str">
        <f>VLOOKUP(A21,'Table S6C'!A:E,4,FALSE)</f>
        <v>human feces</v>
      </c>
      <c r="E21" s="20" t="str">
        <f>VLOOKUP(A21,'Table S6C'!A:E,5,FALSE)</f>
        <v>Gastrointestinal tract</v>
      </c>
      <c r="F21" s="20">
        <v>600</v>
      </c>
      <c r="G21" s="21">
        <v>0.97</v>
      </c>
      <c r="H21" s="20">
        <v>0</v>
      </c>
      <c r="I21" s="20">
        <v>69.55</v>
      </c>
      <c r="J21" s="20">
        <v>404</v>
      </c>
      <c r="K21" s="20" t="str">
        <f>HYPERLINK("https://www.ncbi.nlm.nih.gov/protein/MBV1821068.1?report=genbank&amp;log$=prottop&amp;blast_rank=157&amp;RID=AS58GR0S013","MBV1821068.1")</f>
        <v>MBV1821068.1</v>
      </c>
      <c r="L21" s="23"/>
    </row>
    <row r="22" spans="1:12">
      <c r="A22" s="20" t="s">
        <v>441</v>
      </c>
      <c r="B22" s="20" t="str">
        <f>VLOOKUP(A22,'Table S6C'!A:C,2,FALSE)</f>
        <v>Actinomycetota</v>
      </c>
      <c r="C22" s="20" t="str">
        <f>VLOOKUP(A22,'Table S6C'!A:C,3,FALSE)</f>
        <v>Bifidobacteriaceae</v>
      </c>
      <c r="D22" s="20" t="str">
        <f>VLOOKUP(A22,'Table S6C'!A:E,4,FALSE)</f>
        <v>human feces</v>
      </c>
      <c r="E22" s="20" t="str">
        <f>VLOOKUP(A22,'Table S6C'!A:E,5,FALSE)</f>
        <v>Gastrointestinal tract</v>
      </c>
      <c r="F22" s="20">
        <v>574</v>
      </c>
      <c r="G22" s="21">
        <v>1</v>
      </c>
      <c r="H22" s="20">
        <v>0</v>
      </c>
      <c r="I22" s="20">
        <v>70.91</v>
      </c>
      <c r="J22" s="20">
        <v>415</v>
      </c>
      <c r="K22" s="20" t="str">
        <f>HYPERLINK("https://www.ncbi.nlm.nih.gov/protein/WP_049183860.1?report=genbank&amp;log$=prottop&amp;blast_rank=200&amp;RID=AS58GR0S013","WP_049183860.1")</f>
        <v>WP_049183860.1</v>
      </c>
      <c r="L22" s="23"/>
    </row>
    <row r="23" spans="1:12">
      <c r="A23" s="20" t="s">
        <v>443</v>
      </c>
      <c r="B23" s="20" t="str">
        <f>VLOOKUP(A23,'Table S6C'!A:C,2,FALSE)</f>
        <v>Actinomycetota</v>
      </c>
      <c r="C23" s="20" t="str">
        <f>VLOOKUP(A23,'Table S6C'!A:C,3,FALSE)</f>
        <v>Bifidobacteriaceae</v>
      </c>
      <c r="D23" s="20" t="str">
        <f>VLOOKUP(A23,'Table S6C'!A:E,4,FALSE)</f>
        <v>the feces of Rousettus aegyptiacus</v>
      </c>
      <c r="E23" s="20" t="str">
        <f>VLOOKUP(A23,'Table S6C'!A:E,5,FALSE)</f>
        <v>Gastrointestinal tract</v>
      </c>
      <c r="F23" s="20">
        <v>577</v>
      </c>
      <c r="G23" s="21">
        <v>1</v>
      </c>
      <c r="H23" s="20">
        <v>0</v>
      </c>
      <c r="I23" s="20">
        <v>71.08</v>
      </c>
      <c r="J23" s="20">
        <v>415</v>
      </c>
      <c r="K23" s="20" t="str">
        <f>HYPERLINK("https://www.ncbi.nlm.nih.gov/protein/WP_150353900.1?report=genbank&amp;log$=prottop&amp;blast_rank=197&amp;RID=AS58GR0S013","WP_150353900.1")</f>
        <v>WP_150353900.1</v>
      </c>
      <c r="L23" s="23"/>
    </row>
    <row r="24" spans="1:12">
      <c r="A24" s="20" t="s">
        <v>445</v>
      </c>
      <c r="B24" s="20" t="str">
        <f>VLOOKUP(A24,'Table S6C'!A:C,2,FALSE)</f>
        <v> Bacillota</v>
      </c>
      <c r="C24" s="20" t="str">
        <f>VLOOKUP(A24,'Table S6C'!A:C,3,FALSE)</f>
        <v>Lachnospiraceae</v>
      </c>
      <c r="D24" s="20" t="str">
        <f>VLOOKUP(A24,'Table S6C'!A:E,4,FALSE)</f>
        <v>mouse feces</v>
      </c>
      <c r="E24" s="20" t="str">
        <f>VLOOKUP(A24,'Table S6C'!A:E,5,FALSE)</f>
        <v>Gastrointestinal tract</v>
      </c>
      <c r="F24" s="20">
        <v>625</v>
      </c>
      <c r="G24" s="21">
        <v>0.99</v>
      </c>
      <c r="H24" s="20">
        <v>0</v>
      </c>
      <c r="I24" s="20">
        <v>72.709999999999994</v>
      </c>
      <c r="J24" s="20">
        <v>417</v>
      </c>
      <c r="K24" s="20" t="str">
        <f>HYPERLINK("https://www.ncbi.nlm.nih.gov/protein/WP_257414620.1?report=genbank&amp;log$=prottop&amp;blast_rank=100&amp;RID=AS58GR0S013","WP_257414620.1")</f>
        <v>WP_257414620.1</v>
      </c>
      <c r="L24" s="23"/>
    </row>
    <row r="25" spans="1:12">
      <c r="A25" s="20" t="s">
        <v>448</v>
      </c>
      <c r="B25" s="20" t="str">
        <f>VLOOKUP(A25,'Table S6C'!A:C,2,FALSE)</f>
        <v> Bacillota</v>
      </c>
      <c r="C25" s="20" t="str">
        <f>VLOOKUP(A25,'Table S6C'!A:C,3,FALSE)</f>
        <v>Lachnospiraceae</v>
      </c>
      <c r="D25" s="20" t="str">
        <f>VLOOKUP(A25,'Table S6C'!A:E,4,FALSE)</f>
        <v>human feces</v>
      </c>
      <c r="E25" s="20" t="str">
        <f>VLOOKUP(A25,'Table S6C'!A:E,5,FALSE)</f>
        <v>Gastrointestinal tract</v>
      </c>
      <c r="F25" s="20">
        <v>629</v>
      </c>
      <c r="G25" s="21">
        <v>0.99</v>
      </c>
      <c r="H25" s="20">
        <v>0</v>
      </c>
      <c r="I25" s="20">
        <v>72.989999999999995</v>
      </c>
      <c r="J25" s="20">
        <v>416</v>
      </c>
      <c r="K25" s="20" t="str">
        <f>HYPERLINK("https://www.ncbi.nlm.nih.gov/protein/WP_104802820.1?report=genbank&amp;log$=prottop&amp;blast_rank=92&amp;RID=AS58GR0S013","WP_104802820.1")</f>
        <v>WP_104802820.1</v>
      </c>
      <c r="L25" s="23"/>
    </row>
    <row r="26" spans="1:12">
      <c r="A26" s="20" t="s">
        <v>449</v>
      </c>
      <c r="B26" s="20" t="str">
        <f>VLOOKUP(A26,'Table S6C'!A:C,2,FALSE)</f>
        <v> Bacillota</v>
      </c>
      <c r="C26" s="20" t="str">
        <f>VLOOKUP(A26,'Table S6C'!A:C,3,FALSE)</f>
        <v>Lachnospiraceae</v>
      </c>
      <c r="D26" s="20" t="str">
        <f>VLOOKUP(A26,'Table S6C'!A:E,4,FALSE)</f>
        <v>human feces</v>
      </c>
      <c r="E26" s="20" t="str">
        <f>VLOOKUP(A26,'Table S6C'!A:E,5,FALSE)</f>
        <v>Gastrointestinal tract</v>
      </c>
      <c r="F26" s="20">
        <v>628</v>
      </c>
      <c r="G26" s="21">
        <v>0.99</v>
      </c>
      <c r="H26" s="20">
        <v>0</v>
      </c>
      <c r="I26" s="20">
        <v>72.33</v>
      </c>
      <c r="J26" s="20">
        <v>415</v>
      </c>
      <c r="K26" s="20" t="str">
        <f>HYPERLINK("https://www.ncbi.nlm.nih.gov/protein/WP_033142171.1?report=genbank&amp;log$=prottop&amp;blast_rank=94&amp;RID=AS58GR0S013","WP_033142171.1")</f>
        <v>WP_033142171.1</v>
      </c>
      <c r="L26" s="23"/>
    </row>
    <row r="27" spans="1:12">
      <c r="A27" s="20" t="s">
        <v>450</v>
      </c>
      <c r="B27" s="20" t="str">
        <f>VLOOKUP(A27,'Table S6C'!A:C,2,FALSE)</f>
        <v> Bacillota</v>
      </c>
      <c r="C27" s="20" t="str">
        <f>VLOOKUP(A27,'Table S6C'!A:C,3,FALSE)</f>
        <v>Lachnospiraceae</v>
      </c>
      <c r="D27" s="20" t="str">
        <f>VLOOKUP(A27,'Table S6C'!A:E,4,FALSE)</f>
        <v>the rumen of suckling lamb</v>
      </c>
      <c r="E27" s="20" t="str">
        <f>VLOOKUP(A27,'Table S6C'!A:E,5,FALSE)</f>
        <v>Gastrointestinal tract</v>
      </c>
      <c r="F27" s="20">
        <v>611</v>
      </c>
      <c r="G27" s="21">
        <v>0.99</v>
      </c>
      <c r="H27" s="20">
        <v>0</v>
      </c>
      <c r="I27" s="20">
        <v>71.12</v>
      </c>
      <c r="J27" s="20">
        <v>413</v>
      </c>
      <c r="K27" s="20" t="str">
        <f>HYPERLINK("https://www.ncbi.nlm.nih.gov/protein/MDC7291030.1?report=genbank&amp;log$=prottop&amp;blast_rank=127&amp;RID=AS58GR0S013","MDC7291030.1")</f>
        <v>MDC7291030.1</v>
      </c>
      <c r="L27" s="23"/>
    </row>
    <row r="28" spans="1:12">
      <c r="A28" s="20" t="s">
        <v>452</v>
      </c>
      <c r="B28" s="20" t="str">
        <f>VLOOKUP(A28,'Table S6C'!A:C,2,FALSE)</f>
        <v> Bacillota</v>
      </c>
      <c r="C28" s="20" t="str">
        <f>VLOOKUP(A28,'Table S6C'!A:C,3,FALSE)</f>
        <v>Lachnospiraceae</v>
      </c>
      <c r="D28" s="20" t="str">
        <f>VLOOKUP(A28,'Table S6C'!A:E,4,FALSE)</f>
        <v>Porpoise lung</v>
      </c>
      <c r="E28" s="20" t="str">
        <f>VLOOKUP(A28,'Table S6C'!A:E,5,FALSE)</f>
        <v>Gastrointestinal tract</v>
      </c>
      <c r="F28" s="20">
        <v>619</v>
      </c>
      <c r="G28" s="21">
        <v>0.99</v>
      </c>
      <c r="H28" s="20">
        <v>0</v>
      </c>
      <c r="I28" s="20">
        <v>72.459999999999994</v>
      </c>
      <c r="J28" s="20">
        <v>417</v>
      </c>
      <c r="K28" s="20" t="str">
        <f>HYPERLINK("https://www.ncbi.nlm.nih.gov/protein/WP_287713503.1?report=genbank&amp;log$=prottop&amp;blast_rank=118&amp;RID=AS58GR0S013","WP_287713503.1")</f>
        <v>WP_287713503.1</v>
      </c>
      <c r="L28" s="23"/>
    </row>
    <row r="29" spans="1:12">
      <c r="A29" s="20" t="s">
        <v>454</v>
      </c>
      <c r="B29" s="20" t="str">
        <f>VLOOKUP(A29,'Table S6C'!A:C,2,FALSE)</f>
        <v> Bacillota</v>
      </c>
      <c r="C29" s="20" t="str">
        <f>VLOOKUP(A29,'Table S6C'!A:C,3,FALSE)</f>
        <v>Lachnospiraceae</v>
      </c>
      <c r="D29" s="20" t="str">
        <f>VLOOKUP(A29,'Table S6C'!A:E,4,FALSE)</f>
        <v>human feces</v>
      </c>
      <c r="E29" s="20" t="str">
        <f>VLOOKUP(A29,'Table S6C'!A:E,5,FALSE)</f>
        <v>Gastrointestinal tract</v>
      </c>
      <c r="F29" s="20">
        <v>630</v>
      </c>
      <c r="G29" s="21">
        <v>0.99</v>
      </c>
      <c r="H29" s="20">
        <v>0</v>
      </c>
      <c r="I29" s="20">
        <v>72.569999999999993</v>
      </c>
      <c r="J29" s="20">
        <v>415</v>
      </c>
      <c r="K29" s="20" t="str">
        <f>HYPERLINK("https://www.ncbi.nlm.nih.gov/protein/WP_244805996.1?report=genbank&amp;log$=prottop&amp;blast_rank=91&amp;RID=AS58GR0S013","WP_244805996.1")</f>
        <v>WP_244805996.1</v>
      </c>
      <c r="L29" s="23"/>
    </row>
    <row r="30" spans="1:12">
      <c r="A30" s="20" t="s">
        <v>455</v>
      </c>
      <c r="B30" s="20" t="str">
        <f>VLOOKUP(A30,'Table S6C'!A:C,2,FALSE)</f>
        <v>Actinomycetota</v>
      </c>
      <c r="C30" s="20" t="str">
        <f>VLOOKUP(A30,'Table S6C'!A:C,3,FALSE)</f>
        <v>Actinomycetaceae</v>
      </c>
      <c r="D30" s="20" t="str">
        <f>VLOOKUP(A30,'Table S6C'!A:E,4,FALSE)</f>
        <v>Porpoise lung</v>
      </c>
      <c r="E30" s="20" t="str">
        <f>VLOOKUP(A30,'Table S6C'!A:E,5,FALSE)</f>
        <v>Gastrointestinal tract</v>
      </c>
      <c r="F30" s="20">
        <v>592</v>
      </c>
      <c r="G30" s="21">
        <v>1</v>
      </c>
      <c r="H30" s="20">
        <v>0</v>
      </c>
      <c r="I30" s="20">
        <v>68.040000000000006</v>
      </c>
      <c r="J30" s="20">
        <v>412</v>
      </c>
      <c r="K30" s="20" t="str">
        <f>HYPERLINK("https://www.ncbi.nlm.nih.gov/protein/OKL50574.1?report=genbank&amp;log$=prottop&amp;blast_rank=180&amp;RID=AS58GR0S013","OKL50574.1")</f>
        <v>OKL50574.1</v>
      </c>
      <c r="L30" s="23"/>
    </row>
    <row r="31" spans="1:12">
      <c r="A31" s="20" t="s">
        <v>457</v>
      </c>
      <c r="B31" s="20" t="str">
        <f>VLOOKUP(A31,'Table S6C'!A:C,2,FALSE)</f>
        <v> Bacillota</v>
      </c>
      <c r="C31" s="20"/>
      <c r="D31" s="20" t="str">
        <f>VLOOKUP(A31,'Table S6C'!A:E,4,FALSE)</f>
        <v>human feces</v>
      </c>
      <c r="E31" s="20" t="str">
        <f>VLOOKUP(A31,'Table S6C'!A:E,5,FALSE)</f>
        <v>Gastrointestinal tract</v>
      </c>
      <c r="F31" s="20">
        <v>607</v>
      </c>
      <c r="G31" s="21">
        <v>1</v>
      </c>
      <c r="H31" s="20">
        <v>0</v>
      </c>
      <c r="I31" s="20">
        <v>71.569999999999993</v>
      </c>
      <c r="J31" s="20">
        <v>414</v>
      </c>
      <c r="K31" s="20" t="str">
        <f>HYPERLINK("https://www.ncbi.nlm.nih.gov/protein/WP_147594570.1?report=genbank&amp;log$=prottop&amp;blast_rank=132&amp;RID=AS58GR0S013","WP_147594570.1")</f>
        <v>WP_147594570.1</v>
      </c>
      <c r="L31" s="23"/>
    </row>
    <row r="32" spans="1:12">
      <c r="A32" s="20" t="s">
        <v>459</v>
      </c>
      <c r="B32" s="20" t="str">
        <f>VLOOKUP(A32,'Table S6C'!A:C,2,FALSE)</f>
        <v> Bacillota</v>
      </c>
      <c r="C32" s="20" t="str">
        <f>VLOOKUP(A32,'Table S6C'!A:C,3,FALSE)</f>
        <v>Acidaminococcaceae</v>
      </c>
      <c r="D32" s="20" t="str">
        <f>VLOOKUP(A32,'Table S6C'!A:E,4,FALSE)</f>
        <v>chicken gut</v>
      </c>
      <c r="E32" s="20" t="str">
        <f>VLOOKUP(A32,'Table S6C'!A:E,5,FALSE)</f>
        <v>Gastrointestinal tract</v>
      </c>
      <c r="F32" s="20">
        <v>724</v>
      </c>
      <c r="G32" s="21">
        <v>0.99</v>
      </c>
      <c r="H32" s="20">
        <v>0</v>
      </c>
      <c r="I32" s="20">
        <v>82.48</v>
      </c>
      <c r="J32" s="20">
        <v>411</v>
      </c>
      <c r="K32" s="20" t="str">
        <f>HYPERLINK("https://www.ncbi.nlm.nih.gov/protein/HIU63668.1?report=genbank&amp;log$=prottop&amp;blast_rank=54&amp;RID=AS58GR0S013","HIU63668.1")</f>
        <v>HIU63668.1</v>
      </c>
      <c r="L32" s="23"/>
    </row>
    <row r="33" spans="1:12">
      <c r="A33" s="20" t="s">
        <v>462</v>
      </c>
      <c r="B33" s="20" t="str">
        <f>VLOOKUP(A33,'Table S6C'!A:C,2,FALSE)</f>
        <v>Actinomycetota</v>
      </c>
      <c r="C33" s="20" t="str">
        <f>VLOOKUP(A33,'Table S6C'!A:C,3,FALSE)</f>
        <v>Coriobacteriaceae</v>
      </c>
      <c r="D33" s="20" t="str">
        <f>VLOOKUP(A33,'Table S6C'!A:E,4,FALSE)</f>
        <v>chicken gut</v>
      </c>
      <c r="E33" s="20" t="str">
        <f>VLOOKUP(A33,'Table S6C'!A:E,5,FALSE)</f>
        <v>Gastrointestinal tract</v>
      </c>
      <c r="F33" s="20">
        <v>476</v>
      </c>
      <c r="G33" s="21">
        <v>0.99</v>
      </c>
      <c r="H33" s="22">
        <v>1.9999999999999998E-163</v>
      </c>
      <c r="I33" s="20">
        <v>58.88</v>
      </c>
      <c r="J33" s="20">
        <v>424</v>
      </c>
      <c r="K33" s="20" t="str">
        <f>HYPERLINK("https://www.ncbi.nlm.nih.gov/protein/WP_270847763.1?report=genbank&amp;log$=prottop&amp;blast_rank=420&amp;RID=AS58GR0S013","WP_270847763.1")</f>
        <v>WP_270847763.1</v>
      </c>
      <c r="L33" s="23"/>
    </row>
    <row r="34" spans="1:12">
      <c r="A34" s="20" t="s">
        <v>464</v>
      </c>
      <c r="B34" s="20" t="str">
        <f>VLOOKUP(A34,'Table S6C'!A:C,2,FALSE)</f>
        <v> Bacillota</v>
      </c>
      <c r="C34" s="20" t="str">
        <f>VLOOKUP(A34,'Table S6C'!A:C,3,FALSE)</f>
        <v>Eubacteriaceae</v>
      </c>
      <c r="D34" s="20" t="str">
        <f>VLOOKUP(A34,'Table S6C'!A:E,4,FALSE)</f>
        <v>chicken gut</v>
      </c>
      <c r="E34" s="20" t="str">
        <f>VLOOKUP(A34,'Table S6C'!A:E,5,FALSE)</f>
        <v>Gastrointestinal tract</v>
      </c>
      <c r="F34" s="20">
        <v>591</v>
      </c>
      <c r="G34" s="21">
        <v>0.99</v>
      </c>
      <c r="H34" s="20">
        <v>0</v>
      </c>
      <c r="I34" s="20">
        <v>68.5</v>
      </c>
      <c r="J34" s="20">
        <v>423</v>
      </c>
      <c r="K34" s="20" t="str">
        <f>HYPERLINK("https://www.ncbi.nlm.nih.gov/protein/HIU96688.1?report=genbank&amp;log$=prottop&amp;blast_rank=186&amp;RID=AS58GR0S013","HIU96688.1")</f>
        <v>HIU96688.1</v>
      </c>
      <c r="L34" s="23"/>
    </row>
    <row r="35" spans="1:12">
      <c r="A35" s="20" t="s">
        <v>466</v>
      </c>
      <c r="B35" s="20" t="str">
        <f>VLOOKUP(A35,'Table S6C'!A:C,2,FALSE)</f>
        <v> Bacillota</v>
      </c>
      <c r="C35" s="20" t="str">
        <f>VLOOKUP(A35,'Table S6C'!A:C,3,FALSE)</f>
        <v>Oscillospiraceae</v>
      </c>
      <c r="D35" s="20" t="str">
        <f>VLOOKUP(A35,'Table S6C'!A:E,4,FALSE)</f>
        <v>chicken gut</v>
      </c>
      <c r="E35" s="20" t="str">
        <f>VLOOKUP(A35,'Table S6C'!A:E,5,FALSE)</f>
        <v>Gastrointestinal tract</v>
      </c>
      <c r="F35" s="20">
        <v>749</v>
      </c>
      <c r="G35" s="21">
        <v>0.99</v>
      </c>
      <c r="H35" s="20">
        <v>0</v>
      </c>
      <c r="I35" s="20">
        <v>87.14</v>
      </c>
      <c r="J35" s="20">
        <v>413</v>
      </c>
      <c r="K35" s="20" t="str">
        <f>HYPERLINK("https://www.ncbi.nlm.nih.gov/protein/HIX06458.1?report=genbank&amp;log$=prottop&amp;blast_rank=16&amp;RID=AS58GR0S013","HIX06458.1")</f>
        <v>HIX06458.1</v>
      </c>
      <c r="L35" s="23"/>
    </row>
    <row r="36" spans="1:12">
      <c r="A36" s="20" t="s">
        <v>468</v>
      </c>
      <c r="B36" s="20" t="str">
        <f>VLOOKUP(A36,'Table S6C'!A:C,2,FALSE)</f>
        <v> Bacillota</v>
      </c>
      <c r="C36" s="20"/>
      <c r="D36" s="20" t="str">
        <f>VLOOKUP(A36,'Table S6C'!A:E,4,FALSE)</f>
        <v>chicken gut</v>
      </c>
      <c r="E36" s="20" t="str">
        <f>VLOOKUP(A36,'Table S6C'!A:E,5,FALSE)</f>
        <v>Gastrointestinal tract</v>
      </c>
      <c r="F36" s="20">
        <v>741</v>
      </c>
      <c r="G36" s="21">
        <v>0.99</v>
      </c>
      <c r="H36" s="20">
        <v>0</v>
      </c>
      <c r="I36" s="20">
        <v>85.92</v>
      </c>
      <c r="J36" s="20">
        <v>413</v>
      </c>
      <c r="K36" s="20" t="str">
        <f>HYPERLINK("https://www.ncbi.nlm.nih.gov/protein/HIZ43024.1?report=genbank&amp;log$=prottop&amp;blast_rank=39&amp;RID=AS58GR0S013","HIZ43024.1")</f>
        <v>HIZ43024.1</v>
      </c>
      <c r="L36" s="23"/>
    </row>
    <row r="37" spans="1:12">
      <c r="A37" s="20" t="s">
        <v>470</v>
      </c>
      <c r="B37" s="20" t="str">
        <f>VLOOKUP(A37,'Table S6C'!A:C,2,FALSE)</f>
        <v> Bacillota</v>
      </c>
      <c r="C37" s="20" t="str">
        <f>VLOOKUP(A37,'Table S6C'!A:C,3,FALSE)</f>
        <v>Oscillospiraceae</v>
      </c>
      <c r="D37" s="20" t="str">
        <f>VLOOKUP(A37,'Table S6C'!A:E,4,FALSE)</f>
        <v>the wastewater treatment plant</v>
      </c>
      <c r="E37" s="20" t="str">
        <f>VLOOKUP(A37,'Table S6C'!A:E,5,FALSE)</f>
        <v>Engineered</v>
      </c>
      <c r="F37" s="20">
        <v>748</v>
      </c>
      <c r="G37" s="21">
        <v>0.99</v>
      </c>
      <c r="H37" s="20">
        <v>0</v>
      </c>
      <c r="I37" s="20">
        <v>87.1</v>
      </c>
      <c r="J37" s="20">
        <v>414</v>
      </c>
      <c r="K37" s="20" t="str">
        <f>HYPERLINK("https://www.ncbi.nlm.nih.gov/protein/WP_135657531.1?report=genbank&amp;log$=prottop&amp;blast_rank=17&amp;RID=AS58GR0S013","WP_135657531.1")</f>
        <v>WP_135657531.1</v>
      </c>
      <c r="L37" s="23"/>
    </row>
    <row r="38" spans="1:12">
      <c r="A38" s="20" t="s">
        <v>472</v>
      </c>
      <c r="B38" s="20" t="str">
        <f>VLOOKUP(A38,'Table S6C'!A:C,2,FALSE)</f>
        <v> Bacillota</v>
      </c>
      <c r="C38" s="20" t="str">
        <f>VLOOKUP(A38,'Table S6C'!A:C,3,FALSE)</f>
        <v>Clostridiaceae</v>
      </c>
      <c r="D38" s="20" t="str">
        <f>VLOOKUP(A38,'Table S6C'!A:E,4,FALSE)</f>
        <v>soil</v>
      </c>
      <c r="E38" s="20" t="str">
        <f>VLOOKUP(A38,'Table S6C'!A:E,5,FALSE)</f>
        <v>Environmental</v>
      </c>
      <c r="F38" s="20">
        <v>594</v>
      </c>
      <c r="G38" s="21">
        <v>1</v>
      </c>
      <c r="H38" s="20">
        <v>0</v>
      </c>
      <c r="I38" s="20">
        <v>67.55</v>
      </c>
      <c r="J38" s="20">
        <v>412</v>
      </c>
      <c r="K38" s="20" t="str">
        <f>HYPERLINK("https://www.ncbi.nlm.nih.gov/protein/AWZ48544.1?report=genbank&amp;log$=prottop&amp;blast_rank=178&amp;RID=AS58GR0S013","AWZ48544.1")</f>
        <v>AWZ48544.1</v>
      </c>
      <c r="L38" s="23"/>
    </row>
    <row r="39" spans="1:12">
      <c r="A39" s="20" t="s">
        <v>474</v>
      </c>
      <c r="B39" s="20" t="str">
        <f>VLOOKUP(A39,'Table S6C'!A:C,2,FALSE)</f>
        <v> Bacillota</v>
      </c>
      <c r="C39" s="20" t="str">
        <f>VLOOKUP(A39,'Table S6C'!A:C,3,FALSE)</f>
        <v>Clostridiaceae</v>
      </c>
      <c r="D39" s="20" t="str">
        <f>VLOOKUP(A39,'Table S6C'!A:E,4,FALSE)</f>
        <v>the mud of olive mill wastewater evaporation pond</v>
      </c>
      <c r="E39" s="20" t="str">
        <f>VLOOKUP(A39,'Table S6C'!A:E,5,FALSE)</f>
        <v>Engineered</v>
      </c>
      <c r="F39" s="20">
        <v>598</v>
      </c>
      <c r="G39" s="21">
        <v>0.99</v>
      </c>
      <c r="H39" s="20">
        <v>0</v>
      </c>
      <c r="I39" s="20">
        <v>67.72</v>
      </c>
      <c r="J39" s="20">
        <v>413</v>
      </c>
      <c r="K39" s="20" t="str">
        <f>HYPERLINK("https://www.ncbi.nlm.nih.gov/protein/WP_026895359.1?report=genbank&amp;log$=prottop&amp;blast_rank=167&amp;RID=AS58GR0S013","WP_026895359.1")</f>
        <v>WP_026895359.1</v>
      </c>
      <c r="L39" s="23"/>
    </row>
    <row r="40" spans="1:12">
      <c r="A40" s="20" t="s">
        <v>476</v>
      </c>
      <c r="B40" s="20" t="str">
        <f>VLOOKUP(A40,'Table S6C'!A:C,2,FALSE)</f>
        <v> Bacillota</v>
      </c>
      <c r="C40" s="20" t="str">
        <f>VLOOKUP(A40,'Table S6C'!A:C,3,FALSE)</f>
        <v>Clostridiaceae</v>
      </c>
      <c r="D40" s="20" t="str">
        <f>VLOOKUP(A40,'Table S6C'!A:E,4,FALSE)</f>
        <v>human feces</v>
      </c>
      <c r="E40" s="20" t="str">
        <f>VLOOKUP(A40,'Table S6C'!A:E,5,FALSE)</f>
        <v>Gastrointestinal tract</v>
      </c>
      <c r="F40" s="20">
        <v>597</v>
      </c>
      <c r="G40" s="21">
        <v>1</v>
      </c>
      <c r="H40" s="20">
        <v>0</v>
      </c>
      <c r="I40" s="20">
        <v>70.7</v>
      </c>
      <c r="J40" s="20">
        <v>411</v>
      </c>
      <c r="K40" s="20" t="str">
        <f>HYPERLINK("https://www.ncbi.nlm.nih.gov/protein/WP_032122148.1?report=genbank&amp;log$=prottop&amp;blast_rank=173&amp;RID=AS58GR0S013","WP_032122148.1")</f>
        <v>WP_032122148.1</v>
      </c>
      <c r="L40" s="23"/>
    </row>
    <row r="41" spans="1:12">
      <c r="A41" s="20" t="s">
        <v>477</v>
      </c>
      <c r="B41" s="20" t="str">
        <f>VLOOKUP(A41,'Table S6C'!A:C,2,FALSE)</f>
        <v> Bacillota</v>
      </c>
      <c r="C41" s="20" t="str">
        <f>VLOOKUP(A41,'Table S6C'!A:C,3,FALSE)</f>
        <v>Clostridiaceae</v>
      </c>
      <c r="D41" s="20" t="str">
        <f>VLOOKUP(A41,'Table S6C'!A:E,4,FALSE)</f>
        <v>the mud in a North Carolina swamp</v>
      </c>
      <c r="E41" s="20" t="str">
        <f>VLOOKUP(A41,'Table S6C'!A:E,5,FALSE)</f>
        <v>Environmental</v>
      </c>
      <c r="F41" s="20">
        <v>728</v>
      </c>
      <c r="G41" s="21">
        <v>1</v>
      </c>
      <c r="H41" s="20">
        <v>0</v>
      </c>
      <c r="I41" s="20">
        <v>82.81</v>
      </c>
      <c r="J41" s="20">
        <v>417</v>
      </c>
      <c r="K41" s="20" t="str">
        <f>HYPERLINK("https://www.ncbi.nlm.nih.gov/protein/WP_206582835.1?report=genbank&amp;log$=prottop&amp;blast_rank=51&amp;RID=AS58GR0S013","WP_206582835.1")</f>
        <v>WP_206582835.1</v>
      </c>
      <c r="L41" s="23"/>
    </row>
    <row r="42" spans="1:12">
      <c r="A42" s="20" t="s">
        <v>705</v>
      </c>
      <c r="B42" s="20" t="str">
        <f>VLOOKUP(A42,'Table S6C'!A:C,2,FALSE)</f>
        <v> Bacillota</v>
      </c>
      <c r="C42" s="20" t="str">
        <f>VLOOKUP(A42,'Table S6C'!A:C,3,FALSE)</f>
        <v>Clostridiaceae</v>
      </c>
      <c r="D42" s="20" t="str">
        <f>VLOOKUP(A42,'Table S6C'!A:E,4,FALSE)</f>
        <v>unknown</v>
      </c>
      <c r="E42" s="20"/>
      <c r="F42" s="20">
        <v>507</v>
      </c>
      <c r="G42" s="21">
        <v>0.99</v>
      </c>
      <c r="H42" s="22">
        <v>1E-175</v>
      </c>
      <c r="I42" s="20">
        <v>58.11</v>
      </c>
      <c r="J42" s="20">
        <v>415</v>
      </c>
      <c r="K42" s="20" t="str">
        <f>HYPERLINK("https://www.ncbi.nlm.nih.gov/protein/WP_039636119.1?report=genbank&amp;log$=prottop&amp;blast_rank=250&amp;RID=AS58GR0S013","WP_039636119.1")</f>
        <v>WP_039636119.1</v>
      </c>
      <c r="L42" s="23"/>
    </row>
    <row r="43" spans="1:12">
      <c r="A43" s="20" t="s">
        <v>706</v>
      </c>
      <c r="B43" s="20" t="str">
        <f>VLOOKUP(A43,'Table S6C'!A:C,2,FALSE)</f>
        <v> Bacillota</v>
      </c>
      <c r="C43" s="20" t="str">
        <f>VLOOKUP(A43,'Table S6C'!A:C,3,FALSE)</f>
        <v>Clostridiaceae</v>
      </c>
      <c r="D43" s="20" t="str">
        <f>VLOOKUP(A43,'Table S6C'!A:E,4,FALSE)</f>
        <v>Soil</v>
      </c>
      <c r="E43" s="20" t="str">
        <f>VLOOKUP(A43,'Table S6C'!A:E,5,FALSE)</f>
        <v>Environmental</v>
      </c>
      <c r="F43" s="20">
        <v>511</v>
      </c>
      <c r="G43" s="21">
        <v>0.81</v>
      </c>
      <c r="H43" s="22">
        <v>8.9999999999999998E-179</v>
      </c>
      <c r="I43" s="20">
        <v>72.02</v>
      </c>
      <c r="J43" s="20">
        <v>335</v>
      </c>
      <c r="K43" s="20" t="str">
        <f>HYPERLINK("https://www.ncbi.nlm.nih.gov/protein/WP_185670421.1?report=genbank&amp;log$=prottop&amp;blast_rank=226&amp;RID=AS58GR0S013","WP_185670421.1")</f>
        <v>WP_185670421.1</v>
      </c>
      <c r="L43" s="23"/>
    </row>
    <row r="44" spans="1:12">
      <c r="A44" s="20" t="s">
        <v>479</v>
      </c>
      <c r="B44" s="20" t="str">
        <f>VLOOKUP(A44,'Table S6C'!A:C,2,FALSE)</f>
        <v> Bacillota</v>
      </c>
      <c r="C44" s="20" t="str">
        <f>VLOOKUP(A44,'Table S6C'!A:C,3,FALSE)</f>
        <v>Clostridiaceae</v>
      </c>
      <c r="D44" s="20" t="str">
        <f>VLOOKUP(A44,'Table S6C'!A:E,4,FALSE)</f>
        <v>the contaminated groundwater in the United States</v>
      </c>
      <c r="E44" s="20" t="str">
        <f>VLOOKUP(A44,'Table S6C'!A:E,5,FALSE)</f>
        <v>Engineered</v>
      </c>
      <c r="F44" s="20">
        <v>735</v>
      </c>
      <c r="G44" s="21">
        <v>0.99</v>
      </c>
      <c r="H44" s="20">
        <v>0</v>
      </c>
      <c r="I44" s="20">
        <v>84.71</v>
      </c>
      <c r="J44" s="20">
        <v>420</v>
      </c>
      <c r="K44" s="20" t="str">
        <f>HYPERLINK("https://www.ncbi.nlm.nih.gov/protein/WP_072985634.1?report=genbank&amp;log$=prottop&amp;blast_rank=43&amp;RID=AS58GR0S013","WP_072985634.1")</f>
        <v>WP_072985634.1</v>
      </c>
      <c r="L44" s="23"/>
    </row>
    <row r="45" spans="1:12">
      <c r="A45" s="20" t="s">
        <v>481</v>
      </c>
      <c r="B45" s="20" t="str">
        <f>VLOOKUP(A45,'Table S6C'!A:C,2,FALSE)</f>
        <v> Bacillota</v>
      </c>
      <c r="C45" s="20" t="str">
        <f>VLOOKUP(A45,'Table S6C'!A:C,3,FALSE)</f>
        <v>Clostridiaceae</v>
      </c>
      <c r="D45" s="20" t="str">
        <f>VLOOKUP(A45,'Table S6C'!A:E,4,FALSE)</f>
        <v>muscular tissue of animals</v>
      </c>
      <c r="E45" s="20" t="str">
        <f>VLOOKUP(A45,'Table S6C'!A:E,5,FALSE)</f>
        <v>muscle</v>
      </c>
      <c r="F45" s="20">
        <v>730</v>
      </c>
      <c r="G45" s="21">
        <v>0.99</v>
      </c>
      <c r="H45" s="20">
        <v>0</v>
      </c>
      <c r="I45" s="20">
        <v>83.01</v>
      </c>
      <c r="J45" s="20">
        <v>420</v>
      </c>
      <c r="K45" s="20" t="str">
        <f>HYPERLINK("https://www.ncbi.nlm.nih.gov/protein/WP_021876833.1?report=genbank&amp;log$=prottop&amp;blast_rank=49&amp;RID=AS58GR0S013","WP_021876833.1")</f>
        <v>WP_021876833.1</v>
      </c>
      <c r="L45" s="23"/>
    </row>
    <row r="46" spans="1:12">
      <c r="A46" s="20" t="s">
        <v>484</v>
      </c>
      <c r="B46" s="20" t="str">
        <f>VLOOKUP(A46,'Table S6C'!A:C,2,FALSE)</f>
        <v> Bacillota</v>
      </c>
      <c r="C46" s="20" t="str">
        <f>VLOOKUP(A46,'Table S6C'!A:C,3,FALSE)</f>
        <v>Clostridiaceae</v>
      </c>
      <c r="D46" s="20" t="str">
        <f>VLOOKUP(A46,'Table S6C'!A:E,4,FALSE)</f>
        <v>mouse feces</v>
      </c>
      <c r="E46" s="20" t="str">
        <f>VLOOKUP(A46,'Table S6C'!A:E,5,FALSE)</f>
        <v>Gastrointestinal tract</v>
      </c>
      <c r="F46" s="20">
        <v>613</v>
      </c>
      <c r="G46" s="21">
        <v>1</v>
      </c>
      <c r="H46" s="20">
        <v>0</v>
      </c>
      <c r="I46" s="20">
        <v>69.489999999999995</v>
      </c>
      <c r="J46" s="20">
        <v>413</v>
      </c>
      <c r="K46" s="20" t="str">
        <f>HYPERLINK("https://www.ncbi.nlm.nih.gov/protein/WP_278522484.1?report=genbank&amp;log$=prottop&amp;blast_rank=123&amp;RID=AS58GR0S013","WP_278522484.1")</f>
        <v>WP_278522484.1</v>
      </c>
      <c r="L46" s="23"/>
    </row>
    <row r="47" spans="1:12">
      <c r="A47" s="20" t="s">
        <v>485</v>
      </c>
      <c r="B47" s="20" t="str">
        <f>VLOOKUP(A47,'Table S6C'!A:C,2,FALSE)</f>
        <v> Bacillota</v>
      </c>
      <c r="C47" s="20" t="str">
        <f>VLOOKUP(A47,'Table S6C'!A:C,3,FALSE)</f>
        <v>Clostridiaceae</v>
      </c>
      <c r="D47" s="20" t="str">
        <f>VLOOKUP(A47,'Table S6C'!A:E,4,FALSE)</f>
        <v>sewage sludge in the United States</v>
      </c>
      <c r="E47" s="20" t="str">
        <f>VLOOKUP(A47,'Table S6C'!A:E,5,FALSE)</f>
        <v>Environmental</v>
      </c>
      <c r="F47" s="20">
        <v>596</v>
      </c>
      <c r="G47" s="21">
        <v>1</v>
      </c>
      <c r="H47" s="20">
        <v>0</v>
      </c>
      <c r="I47" s="20">
        <v>68.28</v>
      </c>
      <c r="J47" s="20">
        <v>413</v>
      </c>
      <c r="K47" s="20" t="str">
        <f>HYPERLINK("https://www.ncbi.nlm.nih.gov/protein/WP_072830729.1?report=genbank&amp;log$=prottop&amp;blast_rank=175&amp;RID=AS58GR0S013","WP_072830729.1")</f>
        <v>WP_072830729.1</v>
      </c>
      <c r="L47" s="23"/>
    </row>
    <row r="48" spans="1:12">
      <c r="A48" s="20" t="s">
        <v>487</v>
      </c>
      <c r="B48" s="20" t="str">
        <f>VLOOKUP(A48,'Table S6C'!A:C,2,FALSE)</f>
        <v> Bacillota</v>
      </c>
      <c r="C48" s="20" t="str">
        <f>VLOOKUP(A48,'Table S6C'!A:C,3,FALSE)</f>
        <v>Clostridiaceae</v>
      </c>
      <c r="D48" s="20" t="str">
        <f>VLOOKUP(A48,'Table S6C'!A:E,4,FALSE)</f>
        <v>the stool of an obese patient</v>
      </c>
      <c r="E48" s="20" t="str">
        <f>VLOOKUP(A48,'Table S6C'!A:E,5,FALSE)</f>
        <v>infection</v>
      </c>
      <c r="F48" s="20">
        <v>734</v>
      </c>
      <c r="G48" s="21">
        <v>1</v>
      </c>
      <c r="H48" s="20">
        <v>0</v>
      </c>
      <c r="I48" s="20">
        <v>84.26</v>
      </c>
      <c r="J48" s="20">
        <v>415</v>
      </c>
      <c r="K48" s="20" t="str">
        <f>HYPERLINK("https://www.ncbi.nlm.nih.gov/protein/WP_040193483.1?report=genbank&amp;log$=prottop&amp;blast_rank=45&amp;RID=AS58GR0S013","WP_040193483.1")</f>
        <v>WP_040193483.1</v>
      </c>
      <c r="L48" s="23"/>
    </row>
    <row r="49" spans="1:12">
      <c r="A49" s="20" t="s">
        <v>489</v>
      </c>
      <c r="B49" s="20" t="str">
        <f>VLOOKUP(A49,'Table S6C'!A:C,2,FALSE)</f>
        <v> Bacillota</v>
      </c>
      <c r="C49" s="20" t="str">
        <f>VLOOKUP(A49,'Table S6C'!A:C,3,FALSE)</f>
        <v>Clostridiaceae</v>
      </c>
      <c r="D49" s="20" t="str">
        <f>VLOOKUP(A49,'Table S6C'!A:E,4,FALSE)</f>
        <v>the stool sample of a human with anorexia nervosa</v>
      </c>
      <c r="E49" s="20" t="str">
        <f>VLOOKUP(A49,'Table S6C'!A:E,5,FALSE)</f>
        <v>infection</v>
      </c>
      <c r="F49" s="20">
        <v>630</v>
      </c>
      <c r="G49" s="21">
        <v>0.99</v>
      </c>
      <c r="H49" s="20">
        <v>0</v>
      </c>
      <c r="I49" s="20">
        <v>72.819999999999993</v>
      </c>
      <c r="J49" s="20">
        <v>412</v>
      </c>
      <c r="K49" s="20" t="str">
        <f>HYPERLINK("https://www.ncbi.nlm.nih.gov/protein/WP_040329657.1?report=genbank&amp;log$=prottop&amp;blast_rank=90&amp;RID=AS58GR0S013","WP_040329657.1")</f>
        <v>WP_040329657.1</v>
      </c>
      <c r="L49" s="23"/>
    </row>
    <row r="50" spans="1:12">
      <c r="A50" s="20" t="s">
        <v>491</v>
      </c>
      <c r="B50" s="20" t="str">
        <f>VLOOKUP(A50,'Table S6C'!A:C,2,FALSE)</f>
        <v> Bacillota</v>
      </c>
      <c r="C50" s="20" t="str">
        <f>VLOOKUP(A50,'Table S6C'!A:C,3,FALSE)</f>
        <v>Clostridiaceae</v>
      </c>
      <c r="D50" s="20" t="str">
        <f>VLOOKUP(A50,'Table S6C'!A:E,4,FALSE)</f>
        <v>a cow rumen</v>
      </c>
      <c r="E50" s="20" t="str">
        <f>VLOOKUP(A50,'Table S6C'!A:E,5,FALSE)</f>
        <v>Gastrointestinal tract</v>
      </c>
      <c r="F50" s="20">
        <v>621</v>
      </c>
      <c r="G50" s="21">
        <v>1</v>
      </c>
      <c r="H50" s="20">
        <v>0</v>
      </c>
      <c r="I50" s="20">
        <v>71.67</v>
      </c>
      <c r="J50" s="20">
        <v>412</v>
      </c>
      <c r="K50" s="20" t="str">
        <f>HYPERLINK("https://www.ncbi.nlm.nih.gov/protein/WP_027623392.1?report=genbank&amp;log$=prottop&amp;blast_rank=111&amp;RID=AS58GR0S013","WP_027623392.1")</f>
        <v>WP_027623392.1</v>
      </c>
      <c r="L50" s="23"/>
    </row>
    <row r="51" spans="1:12">
      <c r="A51" s="20" t="s">
        <v>493</v>
      </c>
      <c r="B51" s="20" t="str">
        <f>VLOOKUP(A51,'Table S6C'!A:C,2,FALSE)</f>
        <v> Bacillota</v>
      </c>
      <c r="C51" s="20" t="str">
        <f>VLOOKUP(A51,'Table S6C'!A:C,3,FALSE)</f>
        <v>Clostridiaceae</v>
      </c>
      <c r="D51" s="20" t="str">
        <f>VLOOKUP(A51,'Table S6C'!A:E,4,FALSE)</f>
        <v>human feces</v>
      </c>
      <c r="E51" s="20" t="str">
        <f>VLOOKUP(A51,'Table S6C'!A:E,5,FALSE)</f>
        <v>Gastrointestinal tract</v>
      </c>
      <c r="F51" s="20">
        <v>627</v>
      </c>
      <c r="G51" s="21">
        <v>1</v>
      </c>
      <c r="H51" s="20">
        <v>0</v>
      </c>
      <c r="I51" s="20">
        <v>72.400000000000006</v>
      </c>
      <c r="J51" s="20">
        <v>412</v>
      </c>
      <c r="K51" s="20" t="str">
        <f>HYPERLINK("https://www.ncbi.nlm.nih.gov/protein/WP_216438608.1?report=genbank&amp;log$=prottop&amp;blast_rank=97&amp;RID=AS58GR0S013","WP_216438608.1")</f>
        <v>WP_216438608.1</v>
      </c>
      <c r="L51" s="23"/>
    </row>
    <row r="52" spans="1:12">
      <c r="A52" s="20" t="s">
        <v>494</v>
      </c>
      <c r="B52" s="20" t="str">
        <f>VLOOKUP(A52,'Table S6C'!A:C,2,FALSE)</f>
        <v> Bacillota</v>
      </c>
      <c r="C52" s="20" t="str">
        <f>VLOOKUP(A52,'Table S6C'!A:C,3,FALSE)</f>
        <v>Clostridiaceae</v>
      </c>
      <c r="D52" s="20" t="str">
        <f>VLOOKUP(A52,'Table S6C'!A:E,4,FALSE)</f>
        <v>rectum</v>
      </c>
      <c r="E52" s="20" t="str">
        <f>VLOOKUP(A52,'Table S6C'!A:E,5,FALSE)</f>
        <v>Gastrointestinal tract</v>
      </c>
      <c r="F52" s="20">
        <v>601</v>
      </c>
      <c r="G52" s="21">
        <v>1</v>
      </c>
      <c r="H52" s="20">
        <v>0</v>
      </c>
      <c r="I52" s="20">
        <v>68.52</v>
      </c>
      <c r="J52" s="20">
        <v>412</v>
      </c>
      <c r="K52" s="20" t="str">
        <f>HYPERLINK("https://www.ncbi.nlm.nih.gov/protein/WP_125154262.1?report=genbank&amp;log$=prottop&amp;blast_rank=156&amp;RID=AS58GR0S013","WP_125154262.1")</f>
        <v>WP_125154262.1</v>
      </c>
      <c r="L52" s="23"/>
    </row>
    <row r="53" spans="1:12">
      <c r="A53" s="20" t="s">
        <v>496</v>
      </c>
      <c r="B53" s="20" t="str">
        <f>VLOOKUP(A53,'Table S6C'!A:C,2,FALSE)</f>
        <v> Bacillota</v>
      </c>
      <c r="C53" s="20" t="str">
        <f>VLOOKUP(A53,'Table S6C'!A:C,3,FALSE)</f>
        <v>Clostridiaceae</v>
      </c>
      <c r="D53" s="20" t="str">
        <f>VLOOKUP(A53,'Table S6C'!A:E,4,FALSE)</f>
        <v>human feces</v>
      </c>
      <c r="E53" s="20" t="str">
        <f>VLOOKUP(A53,'Table S6C'!A:E,5,FALSE)</f>
        <v>Gastrointestinal tract</v>
      </c>
      <c r="F53" s="20">
        <v>624</v>
      </c>
      <c r="G53" s="21">
        <v>0.99</v>
      </c>
      <c r="H53" s="20">
        <v>0</v>
      </c>
      <c r="I53" s="20">
        <v>71.84</v>
      </c>
      <c r="J53" s="20">
        <v>412</v>
      </c>
      <c r="K53" s="20" t="str">
        <f>HYPERLINK("https://www.ncbi.nlm.nih.gov/protein/WP_216450320.1?report=genbank&amp;log$=prottop&amp;blast_rank=104&amp;RID=AS58GR0S013","WP_216450320.1")</f>
        <v>WP_216450320.1</v>
      </c>
      <c r="L53" s="23"/>
    </row>
    <row r="54" spans="1:12">
      <c r="A54" s="20" t="s">
        <v>497</v>
      </c>
      <c r="B54" s="20" t="str">
        <f>VLOOKUP(A54,'Table S6C'!A:C,2,FALSE)</f>
        <v> Bacillota</v>
      </c>
      <c r="C54" s="20" t="str">
        <f>VLOOKUP(A54,'Table S6C'!A:C,3,FALSE)</f>
        <v>Clostridiaceae</v>
      </c>
      <c r="D54" s="20" t="str">
        <f>VLOOKUP(A54,'Table S6C'!A:E,4,FALSE)</f>
        <v>monkey feces</v>
      </c>
      <c r="E54" s="20" t="str">
        <f>VLOOKUP(A54,'Table S6C'!A:E,5,FALSE)</f>
        <v>Gastrointestinal tract</v>
      </c>
      <c r="F54" s="20">
        <v>592</v>
      </c>
      <c r="G54" s="21">
        <v>1</v>
      </c>
      <c r="H54" s="20">
        <v>0</v>
      </c>
      <c r="I54" s="20">
        <v>70.459999999999994</v>
      </c>
      <c r="J54" s="20">
        <v>411</v>
      </c>
      <c r="K54" s="20" t="str">
        <f>HYPERLINK("https://www.ncbi.nlm.nih.gov/protein/WP_216456263.1?report=genbank&amp;log$=prottop&amp;blast_rank=183&amp;RID=AS58GR0S013","WP_216456263.1")</f>
        <v>WP_216456263.1</v>
      </c>
      <c r="L54" s="23"/>
    </row>
    <row r="55" spans="1:12">
      <c r="A55" s="20" t="s">
        <v>499</v>
      </c>
      <c r="B55" s="20" t="str">
        <f>VLOOKUP(A55,'Table S6C'!A:C,2,FALSE)</f>
        <v> Bacillota</v>
      </c>
      <c r="C55" s="20" t="str">
        <f>VLOOKUP(A55,'Table S6C'!A:C,3,FALSE)</f>
        <v>Clostridiaceae</v>
      </c>
      <c r="D55" s="20" t="str">
        <f>VLOOKUP(A55,'Table S6C'!A:E,4,FALSE)</f>
        <v>human feces</v>
      </c>
      <c r="E55" s="20" t="str">
        <f>VLOOKUP(A55,'Table S6C'!A:E,5,FALSE)</f>
        <v>Gastrointestinal tract</v>
      </c>
      <c r="F55" s="20">
        <v>607</v>
      </c>
      <c r="G55" s="21">
        <v>1</v>
      </c>
      <c r="H55" s="20">
        <v>0</v>
      </c>
      <c r="I55" s="20">
        <v>69.98</v>
      </c>
      <c r="J55" s="20">
        <v>413</v>
      </c>
      <c r="K55" s="20" t="str">
        <f>HYPERLINK("https://www.ncbi.nlm.nih.gov/protein/MBS1483465.1?report=genbank&amp;log$=prottop&amp;blast_rank=133&amp;RID=AS58GR0S013","MBS1483465.1")</f>
        <v>MBS1483465.1</v>
      </c>
      <c r="L55" s="23"/>
    </row>
    <row r="56" spans="1:12">
      <c r="A56" s="20" t="s">
        <v>500</v>
      </c>
      <c r="B56" s="20" t="str">
        <f>VLOOKUP(A56,'Table S6C'!A:C,2,FALSE)</f>
        <v> Bacillota</v>
      </c>
      <c r="C56" s="20" t="str">
        <f>VLOOKUP(A56,'Table S6C'!A:C,3,FALSE)</f>
        <v>Clostridiaceae</v>
      </c>
      <c r="D56" s="20" t="str">
        <f>VLOOKUP(A56,'Table S6C'!A:E,4,FALSE)</f>
        <v>industrial product</v>
      </c>
      <c r="E56" s="20" t="str">
        <f>VLOOKUP(A56,'Table S6C'!A:E,5,FALSE)</f>
        <v>Engineered</v>
      </c>
      <c r="F56" s="20">
        <v>708</v>
      </c>
      <c r="G56" s="21">
        <v>1</v>
      </c>
      <c r="H56" s="20">
        <v>0</v>
      </c>
      <c r="I56" s="20">
        <v>83.05</v>
      </c>
      <c r="J56" s="20">
        <v>420</v>
      </c>
      <c r="K56" s="20" t="str">
        <f>HYPERLINK("https://www.ncbi.nlm.nih.gov/protein/WP_208333477.1?report=genbank&amp;log$=prottop&amp;blast_rank=66&amp;RID=AS58GR0S013","WP_208333477.1")</f>
        <v>WP_208333477.1</v>
      </c>
      <c r="L56" s="23"/>
    </row>
    <row r="57" spans="1:12">
      <c r="A57" s="20" t="s">
        <v>502</v>
      </c>
      <c r="B57" s="20" t="str">
        <f>VLOOKUP(A57,'Table S6C'!A:C,2,FALSE)</f>
        <v> Bacillota</v>
      </c>
      <c r="C57" s="20" t="str">
        <f>VLOOKUP(A57,'Table S6C'!A:C,3,FALSE)</f>
        <v>Clostridiaceae</v>
      </c>
      <c r="D57" s="20" t="str">
        <f>VLOOKUP(A57,'Table S6C'!A:E,4,FALSE)</f>
        <v>unknown</v>
      </c>
      <c r="E57" s="20"/>
      <c r="F57" s="20">
        <v>585</v>
      </c>
      <c r="G57" s="21">
        <v>0.97</v>
      </c>
      <c r="H57" s="20">
        <v>0</v>
      </c>
      <c r="I57" s="20">
        <v>68.239999999999995</v>
      </c>
      <c r="J57" s="20">
        <v>402</v>
      </c>
      <c r="K57" s="20" t="str">
        <f>HYPERLINK("https://www.ncbi.nlm.nih.gov/protein/WP_272879076.1?report=genbank&amp;log$=prottop&amp;blast_rank=191&amp;RID=AS58GR0S013","WP_272879076.1")</f>
        <v>WP_272879076.1</v>
      </c>
      <c r="L57" s="23"/>
    </row>
    <row r="58" spans="1:12">
      <c r="A58" s="20" t="s">
        <v>504</v>
      </c>
      <c r="B58" s="20" t="str">
        <f>VLOOKUP(A58,'Table S6C'!A:C,2,FALSE)</f>
        <v> Bacillota</v>
      </c>
      <c r="C58" s="20" t="str">
        <f>VLOOKUP(A58,'Table S6C'!A:C,3,FALSE)</f>
        <v>Clostridiaceae</v>
      </c>
      <c r="D58" s="20" t="str">
        <f>VLOOKUP(A58,'Table S6C'!A:E,4,FALSE)</f>
        <v>unknown</v>
      </c>
      <c r="E58" s="20"/>
      <c r="F58" s="20">
        <v>619</v>
      </c>
      <c r="G58" s="21">
        <v>1</v>
      </c>
      <c r="H58" s="20">
        <v>0</v>
      </c>
      <c r="I58" s="20">
        <v>71.19</v>
      </c>
      <c r="J58" s="20">
        <v>412</v>
      </c>
      <c r="K58" s="20" t="str">
        <f>HYPERLINK("https://www.ncbi.nlm.nih.gov/protein/WP_236909014.1?report=genbank&amp;log$=prottop&amp;blast_rank=120&amp;RID=AS58GR0S013","WP_236909014.1")</f>
        <v>WP_236909014.1</v>
      </c>
      <c r="L58" s="23"/>
    </row>
    <row r="59" spans="1:12">
      <c r="A59" s="20" t="s">
        <v>505</v>
      </c>
      <c r="B59" s="20" t="str">
        <f>VLOOKUP(A59,'Table S6C'!A:C,2,FALSE)</f>
        <v> Bacillota</v>
      </c>
      <c r="C59" s="20" t="str">
        <f>VLOOKUP(A59,'Table S6C'!A:C,3,FALSE)</f>
        <v>Clostridiaceae</v>
      </c>
      <c r="D59" s="20" t="str">
        <f>VLOOKUP(A59,'Table S6C'!A:E,4,FALSE)</f>
        <v>soil</v>
      </c>
      <c r="E59" s="20" t="str">
        <f>VLOOKUP(A59,'Table S6C'!A:E,5,FALSE)</f>
        <v>Environmental</v>
      </c>
      <c r="F59" s="20">
        <v>626</v>
      </c>
      <c r="G59" s="21">
        <v>1</v>
      </c>
      <c r="H59" s="20">
        <v>0</v>
      </c>
      <c r="I59" s="20">
        <v>71.91</v>
      </c>
      <c r="J59" s="20">
        <v>413</v>
      </c>
      <c r="K59" s="20" t="str">
        <f>HYPERLINK("https://www.ncbi.nlm.nih.gov/protein/WP_035293394.1?report=genbank&amp;log$=prottop&amp;blast_rank=99&amp;RID=AS58GR0S013","WP_035293394.1")</f>
        <v>WP_035293394.1</v>
      </c>
      <c r="L59" s="23"/>
    </row>
    <row r="60" spans="1:12">
      <c r="A60" s="20" t="s">
        <v>506</v>
      </c>
      <c r="B60" s="20" t="str">
        <f>VLOOKUP(A60,'Table S6C'!A:C,2,FALSE)</f>
        <v> Bacillota</v>
      </c>
      <c r="C60" s="20" t="str">
        <f>VLOOKUP(A60,'Table S6C'!A:C,3,FALSE)</f>
        <v>Clostridiaceae</v>
      </c>
      <c r="D60" s="20" t="str">
        <f>VLOOKUP(A60,'Table S6C'!A:E,4,FALSE)</f>
        <v>pond sediment</v>
      </c>
      <c r="E60" s="20" t="str">
        <f>VLOOKUP(A60,'Table S6C'!A:E,5,FALSE)</f>
        <v>Environmental</v>
      </c>
      <c r="F60" s="20">
        <v>605</v>
      </c>
      <c r="G60" s="21">
        <v>1</v>
      </c>
      <c r="H60" s="20">
        <v>0</v>
      </c>
      <c r="I60" s="20">
        <v>68.28</v>
      </c>
      <c r="J60" s="20">
        <v>414</v>
      </c>
      <c r="K60" s="20" t="str">
        <f>HYPERLINK("https://www.ncbi.nlm.nih.gov/protein/WP_035132890.1?report=genbank&amp;log$=prottop&amp;blast_rank=139&amp;RID=AS58GR0S013","WP_035132890.1")</f>
        <v>WP_035132890.1</v>
      </c>
      <c r="L60" s="23"/>
    </row>
    <row r="61" spans="1:12">
      <c r="A61" s="20" t="s">
        <v>508</v>
      </c>
      <c r="B61" s="20" t="str">
        <f>VLOOKUP(A61,'Table S6C'!A:C,2,FALSE)</f>
        <v> Bacillota</v>
      </c>
      <c r="C61" s="20" t="str">
        <f>VLOOKUP(A61,'Table S6C'!A:C,3,FALSE)</f>
        <v>Clostridiaceae</v>
      </c>
      <c r="D61" s="20" t="str">
        <f>VLOOKUP(A61,'Table S6C'!A:E,4,FALSE)</f>
        <v>soil and animal feces</v>
      </c>
      <c r="E61" s="20" t="str">
        <f>VLOOKUP(A61,'Table S6C'!A:E,5,FALSE)</f>
        <v>Environmental/Gastrointestinal tract</v>
      </c>
      <c r="F61" s="20">
        <v>606</v>
      </c>
      <c r="G61" s="21">
        <v>1</v>
      </c>
      <c r="H61" s="20">
        <v>0</v>
      </c>
      <c r="I61" s="20">
        <v>68.52</v>
      </c>
      <c r="J61" s="20">
        <v>415</v>
      </c>
      <c r="K61" s="20" t="str">
        <f>HYPERLINK("https://www.ncbi.nlm.nih.gov/protein/WP_035141630.1?report=genbank&amp;log$=prottop&amp;blast_rank=136&amp;RID=AS58GR0S013","WP_035141630.1")</f>
        <v>WP_035141630.1</v>
      </c>
      <c r="L61" s="23"/>
    </row>
    <row r="62" spans="1:12">
      <c r="A62" s="20" t="s">
        <v>511</v>
      </c>
      <c r="B62" s="20" t="str">
        <f>VLOOKUP(A62,'Table S6C'!A:C,2,FALSE)</f>
        <v> Bacillota</v>
      </c>
      <c r="C62" s="20" t="str">
        <f>VLOOKUP(A62,'Table S6C'!A:C,3,FALSE)</f>
        <v>Clostridiaceae</v>
      </c>
      <c r="D62" s="20" t="str">
        <f>VLOOKUP(A62,'Table S6C'!A:E,4,FALSE)</f>
        <v>soil</v>
      </c>
      <c r="E62" s="20" t="str">
        <f>VLOOKUP(A62,'Table S6C'!A:E,5,FALSE)</f>
        <v>Environmental</v>
      </c>
      <c r="F62" s="20">
        <v>620</v>
      </c>
      <c r="G62" s="21">
        <v>1</v>
      </c>
      <c r="H62" s="20">
        <v>0</v>
      </c>
      <c r="I62" s="20">
        <v>71.19</v>
      </c>
      <c r="J62" s="20">
        <v>412</v>
      </c>
      <c r="K62" s="20" t="str">
        <f>HYPERLINK("https://www.ncbi.nlm.nih.gov/protein/WP_035148934.1?report=genbank&amp;log$=prottop&amp;blast_rank=114&amp;RID=AS58GR0S013","WP_035148934.1")</f>
        <v>WP_035148934.1</v>
      </c>
      <c r="L62" s="23"/>
    </row>
    <row r="63" spans="1:12">
      <c r="A63" s="20" t="s">
        <v>512</v>
      </c>
      <c r="B63" s="20" t="str">
        <f>VLOOKUP(A63,'Table S6C'!A:C,2,FALSE)</f>
        <v> Bacillota</v>
      </c>
      <c r="C63" s="20" t="str">
        <f>VLOOKUP(A63,'Table S6C'!A:C,3,FALSE)</f>
        <v>Clostridiaceae</v>
      </c>
      <c r="D63" s="20" t="str">
        <f>VLOOKUP(A63,'Table S6C'!A:E,4,FALSE)</f>
        <v>acidic peat bog</v>
      </c>
      <c r="E63" s="20" t="str">
        <f>VLOOKUP(A63,'Table S6C'!A:E,5,FALSE)</f>
        <v>Environmental</v>
      </c>
      <c r="F63" s="20">
        <v>731</v>
      </c>
      <c r="G63" s="21">
        <v>0.99</v>
      </c>
      <c r="H63" s="20">
        <v>0</v>
      </c>
      <c r="I63" s="20">
        <v>83.98</v>
      </c>
      <c r="J63" s="20">
        <v>420</v>
      </c>
      <c r="K63" s="20" t="str">
        <f>HYPERLINK("https://www.ncbi.nlm.nih.gov/protein/WP_090094208.1?report=genbank&amp;log$=prottop&amp;blast_rank=48&amp;RID=AS58GR0S013","WP_090094208.1")</f>
        <v>WP_090094208.1</v>
      </c>
      <c r="L63" s="23"/>
    </row>
    <row r="64" spans="1:12">
      <c r="A64" s="20" t="s">
        <v>514</v>
      </c>
      <c r="B64" s="20" t="str">
        <f>VLOOKUP(A64,'Table S6C'!A:C,2,FALSE)</f>
        <v> Bacillota</v>
      </c>
      <c r="C64" s="20" t="str">
        <f>VLOOKUP(A64,'Table S6C'!A:C,3,FALSE)</f>
        <v>Clostridiaceae</v>
      </c>
      <c r="D64" s="20" t="str">
        <f>VLOOKUP(A64,'Table S6C'!A:E,4,FALSE)</f>
        <v>activated sludge of petroleum wastewater</v>
      </c>
      <c r="E64" s="20" t="str">
        <f>VLOOKUP(A64,'Table S6C'!A:E,5,FALSE)</f>
        <v>Environmental</v>
      </c>
      <c r="F64" s="20">
        <v>738</v>
      </c>
      <c r="G64" s="21">
        <v>0.99</v>
      </c>
      <c r="H64" s="20">
        <v>0</v>
      </c>
      <c r="I64" s="20">
        <v>83.98</v>
      </c>
      <c r="J64" s="20">
        <v>415</v>
      </c>
      <c r="K64" s="20" t="str">
        <f>HYPERLINK("https://www.ncbi.nlm.nih.gov/protein/WP_219779195.1?report=genbank&amp;log$=prottop&amp;blast_rank=41&amp;RID=AS58GR0S013","WP_219779195.1")</f>
        <v>WP_219779195.1</v>
      </c>
      <c r="L64" s="23"/>
    </row>
    <row r="65" spans="1:12">
      <c r="A65" s="20" t="s">
        <v>516</v>
      </c>
      <c r="B65" s="20" t="str">
        <f>VLOOKUP(A65,'Table S6C'!A:C,2,FALSE)</f>
        <v>Actinomycetota</v>
      </c>
      <c r="C65" s="20" t="str">
        <f>VLOOKUP(A65,'Table S6C'!A:C,3,FALSE)</f>
        <v>Coriobacteriaceae</v>
      </c>
      <c r="D65" s="20" t="str">
        <f>VLOOKUP(A65,'Table S6C'!A:E,4,FALSE)</f>
        <v>human feces</v>
      </c>
      <c r="E65" s="20" t="str">
        <f>VLOOKUP(A65,'Table S6C'!A:E,5,FALSE)</f>
        <v>Gastrointestinal tract</v>
      </c>
      <c r="F65" s="20">
        <v>503</v>
      </c>
      <c r="G65" s="21">
        <v>0.99</v>
      </c>
      <c r="H65" s="22">
        <v>6.9999999999999997E-174</v>
      </c>
      <c r="I65" s="20">
        <v>58.7</v>
      </c>
      <c r="J65" s="20">
        <v>428</v>
      </c>
      <c r="K65" s="20" t="str">
        <f>HYPERLINK("https://www.ncbi.nlm.nih.gov/protein/NMF56329.1?report=genbank&amp;log$=prottop&amp;blast_rank=320&amp;RID=AS58GR0S013","NMF56329.1")</f>
        <v>NMF56329.1</v>
      </c>
      <c r="L65" s="23"/>
    </row>
    <row r="66" spans="1:12">
      <c r="A66" s="20" t="s">
        <v>517</v>
      </c>
      <c r="B66" s="20" t="str">
        <f>VLOOKUP(A66,'Table S6C'!A:C,2,FALSE)</f>
        <v>Actinomycetota</v>
      </c>
      <c r="C66" s="20" t="str">
        <f>VLOOKUP(A66,'Table S6C'!A:C,3,FALSE)</f>
        <v>Coriobacteriaceae</v>
      </c>
      <c r="D66" s="20" t="str">
        <f>VLOOKUP(A66,'Table S6C'!A:E,4,FALSE)</f>
        <v>human feces</v>
      </c>
      <c r="E66" s="20" t="str">
        <f>VLOOKUP(A66,'Table S6C'!A:E,5,FALSE)</f>
        <v>Gastrointestinal tract</v>
      </c>
      <c r="F66" s="20">
        <v>500</v>
      </c>
      <c r="G66" s="21">
        <v>0.99</v>
      </c>
      <c r="H66" s="22">
        <v>8.0000000000000003E-173</v>
      </c>
      <c r="I66" s="20">
        <v>57.73</v>
      </c>
      <c r="J66" s="20">
        <v>428</v>
      </c>
      <c r="K66" s="20" t="str">
        <f>HYPERLINK("https://www.ncbi.nlm.nih.gov/protein/MCI5785257.1?report=genbank&amp;log$=prottop&amp;blast_rank=340&amp;RID=AS58GR0S013","MCI5785257.1")</f>
        <v>MCI5785257.1</v>
      </c>
      <c r="L66" s="23"/>
    </row>
    <row r="67" spans="1:12">
      <c r="A67" s="20" t="s">
        <v>518</v>
      </c>
      <c r="B67" s="20" t="str">
        <f>VLOOKUP(A67,'Table S6C'!A:C,2,FALSE)</f>
        <v>Actinomycetota</v>
      </c>
      <c r="C67" s="20" t="str">
        <f>VLOOKUP(A67,'Table S6C'!A:C,3,FALSE)</f>
        <v>Coriobacteriaceae</v>
      </c>
      <c r="D67" s="20" t="str">
        <f>VLOOKUP(A67,'Table S6C'!A:E,4,FALSE)</f>
        <v>human feces</v>
      </c>
      <c r="E67" s="20" t="str">
        <f>VLOOKUP(A67,'Table S6C'!A:E,5,FALSE)</f>
        <v>Gastrointestinal tract</v>
      </c>
      <c r="F67" s="20">
        <v>504</v>
      </c>
      <c r="G67" s="21">
        <v>0.99</v>
      </c>
      <c r="H67" s="22">
        <v>2E-174</v>
      </c>
      <c r="I67" s="20">
        <v>59.37</v>
      </c>
      <c r="J67" s="20">
        <v>424</v>
      </c>
      <c r="K67" s="20" t="str">
        <f>HYPERLINK("https://www.ncbi.nlm.nih.gov/protein/HJG30622.1?report=genbank&amp;log$=prottop&amp;blast_rank=303&amp;RID=AS58GR0S013","HJG30622.1")</f>
        <v>HJG30622.1</v>
      </c>
      <c r="L67" s="23"/>
    </row>
    <row r="68" spans="1:12">
      <c r="A68" s="20" t="s">
        <v>163</v>
      </c>
      <c r="B68" s="20" t="str">
        <f>VLOOKUP(A68,'Table S6C'!A:C,2,FALSE)</f>
        <v>Actinomycetota</v>
      </c>
      <c r="C68" s="20" t="str">
        <f>VLOOKUP(A68,'Table S6C'!A:C,3,FALSE)</f>
        <v>Coriobacteriaceae</v>
      </c>
      <c r="D68" s="20" t="str">
        <f>VLOOKUP(A68,'Table S6C'!A:E,4,FALSE)</f>
        <v>human feces</v>
      </c>
      <c r="E68" s="20" t="str">
        <f>VLOOKUP(A68,'Table S6C'!A:E,5,FALSE)</f>
        <v>Gastrointestinal tract</v>
      </c>
      <c r="F68" s="20">
        <v>516</v>
      </c>
      <c r="G68" s="21">
        <v>0.99</v>
      </c>
      <c r="H68" s="22">
        <v>2E-179</v>
      </c>
      <c r="I68" s="20">
        <v>60.92</v>
      </c>
      <c r="J68" s="20">
        <v>425</v>
      </c>
      <c r="K68" s="20" t="str">
        <f>HYPERLINK("https://www.ncbi.nlm.nih.gov/protein/WP_118272077.1?report=genbank&amp;log$=prottop&amp;blast_rank=218&amp;RID=AS58GR0S013","WP_118272077.1")</f>
        <v>WP_118272077.1</v>
      </c>
      <c r="L68" s="23"/>
    </row>
    <row r="69" spans="1:12">
      <c r="A69" s="20" t="s">
        <v>519</v>
      </c>
      <c r="B69" s="20" t="str">
        <f>VLOOKUP(A69,'Table S6C'!A:C,2,FALSE)</f>
        <v>Actinomycetota</v>
      </c>
      <c r="C69" s="20" t="str">
        <f>VLOOKUP(A69,'Table S6C'!A:C,3,FALSE)</f>
        <v>Coriobacteriaceae</v>
      </c>
      <c r="D69" s="20" t="str">
        <f>VLOOKUP(A69,'Table S6C'!A:E,4,FALSE)</f>
        <v>human feces</v>
      </c>
      <c r="E69" s="20" t="str">
        <f>VLOOKUP(A69,'Table S6C'!A:E,5,FALSE)</f>
        <v>Gastrointestinal tract</v>
      </c>
      <c r="F69" s="20">
        <v>491</v>
      </c>
      <c r="G69" s="21">
        <v>0.99</v>
      </c>
      <c r="H69" s="22">
        <v>4.0000000000000001E-169</v>
      </c>
      <c r="I69" s="20">
        <v>60.05</v>
      </c>
      <c r="J69" s="20">
        <v>425</v>
      </c>
      <c r="K69" s="20" t="str">
        <f>HYPERLINK("https://www.ncbi.nlm.nih.gov/protein/WP_072415032.1?report=genbank&amp;log$=prottop&amp;blast_rank=372&amp;RID=AS58GR0S013","WP_072415032.1")</f>
        <v>WP_072415032.1</v>
      </c>
      <c r="L69" s="23"/>
    </row>
    <row r="70" spans="1:12">
      <c r="A70" s="20" t="s">
        <v>520</v>
      </c>
      <c r="B70" s="20" t="str">
        <f>VLOOKUP(A70,'Table S6C'!A:C,2,FALSE)</f>
        <v>Actinomycetota</v>
      </c>
      <c r="C70" s="20" t="str">
        <f>VLOOKUP(A70,'Table S6C'!A:C,3,FALSE)</f>
        <v>Coriobacteriaceae</v>
      </c>
      <c r="D70" s="20" t="str">
        <f>VLOOKUP(A70,'Table S6C'!A:E,4,FALSE)</f>
        <v>human feces</v>
      </c>
      <c r="E70" s="20" t="str">
        <f>VLOOKUP(A70,'Table S6C'!A:E,5,FALSE)</f>
        <v>Gastrointestinal tract</v>
      </c>
      <c r="F70" s="20">
        <v>502</v>
      </c>
      <c r="G70" s="21">
        <v>0.99</v>
      </c>
      <c r="H70" s="22">
        <v>1E-173</v>
      </c>
      <c r="I70" s="20">
        <v>58.74</v>
      </c>
      <c r="J70" s="20">
        <v>425</v>
      </c>
      <c r="K70" s="20" t="str">
        <f>HYPERLINK("https://www.ncbi.nlm.nih.gov/protein/WP_102338201.1?report=genbank&amp;log$=prottop&amp;blast_rank=330&amp;RID=AS58GR0S013","WP_102338201.1")</f>
        <v>WP_102338201.1</v>
      </c>
      <c r="L70" s="23"/>
    </row>
    <row r="71" spans="1:12">
      <c r="A71" s="20" t="s">
        <v>521</v>
      </c>
      <c r="B71" s="20" t="str">
        <f>VLOOKUP(A71,'Table S6C'!A:C,2,FALSE)</f>
        <v>Actinomycetota</v>
      </c>
      <c r="C71" s="20" t="str">
        <f>VLOOKUP(A71,'Table S6C'!A:C,3,FALSE)</f>
        <v>Coriobacteriaceae</v>
      </c>
      <c r="D71" s="20" t="str">
        <f>VLOOKUP(A71,'Table S6C'!A:E,4,FALSE)</f>
        <v>human feces</v>
      </c>
      <c r="E71" s="20" t="str">
        <f>VLOOKUP(A71,'Table S6C'!A:E,5,FALSE)</f>
        <v>Gastrointestinal tract</v>
      </c>
      <c r="F71" s="20">
        <v>508</v>
      </c>
      <c r="G71" s="21">
        <v>0.99</v>
      </c>
      <c r="H71" s="22">
        <v>6E-176</v>
      </c>
      <c r="I71" s="20">
        <v>59.71</v>
      </c>
      <c r="J71" s="20">
        <v>425</v>
      </c>
      <c r="K71" s="20" t="str">
        <f>HYPERLINK("https://www.ncbi.nlm.nih.gov/protein/MBS5396342.1?report=genbank&amp;log$=prottop&amp;blast_rank=244&amp;RID=AS58GR0S013","MBS5396342.1")</f>
        <v>MBS5396342.1</v>
      </c>
      <c r="L71" s="23"/>
    </row>
    <row r="72" spans="1:12">
      <c r="A72" s="20" t="s">
        <v>522</v>
      </c>
      <c r="B72" s="20" t="str">
        <f>VLOOKUP(A72,'Table S6C'!A:C,2,FALSE)</f>
        <v>Actinomycetota</v>
      </c>
      <c r="C72" s="20" t="str">
        <f>VLOOKUP(A72,'Table S6C'!A:C,3,FALSE)</f>
        <v>Coriobacteriaceae</v>
      </c>
      <c r="D72" s="20" t="str">
        <f>VLOOKUP(A72,'Table S6C'!A:E,4,FALSE)</f>
        <v>Industry</v>
      </c>
      <c r="E72" s="20" t="str">
        <f>VLOOKUP(A72,'Table S6C'!A:E,5,FALSE)</f>
        <v>Engineered</v>
      </c>
      <c r="F72" s="20">
        <v>504</v>
      </c>
      <c r="G72" s="21">
        <v>0.99</v>
      </c>
      <c r="H72" s="22">
        <v>1E-174</v>
      </c>
      <c r="I72" s="20">
        <v>59.47</v>
      </c>
      <c r="J72" s="20">
        <v>425</v>
      </c>
      <c r="K72" s="20" t="str">
        <f>HYPERLINK("https://www.ncbi.nlm.nih.gov/protein/WP_035136749.1?report=genbank&amp;log$=prottop&amp;blast_rank=300&amp;RID=AS58GR0S013","WP_035136749.1")</f>
        <v>WP_035136749.1</v>
      </c>
      <c r="L72" s="23"/>
    </row>
    <row r="73" spans="1:12">
      <c r="A73" s="20" t="s">
        <v>524</v>
      </c>
      <c r="B73" s="20" t="str">
        <f>VLOOKUP(A73,'Table S6C'!A:C,2,FALSE)</f>
        <v>Actinomycetota</v>
      </c>
      <c r="C73" s="20" t="str">
        <f>VLOOKUP(A73,'Table S6C'!A:C,3,FALSE)</f>
        <v>Coriobacteriaceae</v>
      </c>
      <c r="D73" s="20" t="str">
        <f>VLOOKUP(A73,'Table S6C'!A:E,4,FALSE)</f>
        <v>human feces</v>
      </c>
      <c r="E73" s="20" t="str">
        <f>VLOOKUP(A73,'Table S6C'!A:E,5,FALSE)</f>
        <v>Gastrointestinal tract</v>
      </c>
      <c r="F73" s="20">
        <v>505</v>
      </c>
      <c r="G73" s="21">
        <v>0.99</v>
      </c>
      <c r="H73" s="22">
        <v>1E-174</v>
      </c>
      <c r="I73" s="20">
        <v>59.22</v>
      </c>
      <c r="J73" s="20">
        <v>425</v>
      </c>
      <c r="K73" s="20" t="str">
        <f>HYPERLINK("https://www.ncbi.nlm.nih.gov/protein/WP_118256856.1?report=genbank&amp;log$=prottop&amp;blast_rank=295&amp;RID=AS58GR0S013","WP_118256856.1")</f>
        <v>WP_118256856.1</v>
      </c>
      <c r="L73" s="23"/>
    </row>
    <row r="74" spans="1:12">
      <c r="A74" s="20" t="s">
        <v>525</v>
      </c>
      <c r="B74" s="20" t="str">
        <f>VLOOKUP(A74,'Table S6C'!A:C,2,FALSE)</f>
        <v>Actinomycetota</v>
      </c>
      <c r="C74" s="20" t="str">
        <f>VLOOKUP(A74,'Table S6C'!A:C,3,FALSE)</f>
        <v>Coriobacteriaceae</v>
      </c>
      <c r="D74" s="20" t="str">
        <f>VLOOKUP(A74,'Table S6C'!A:E,4,FALSE)</f>
        <v>human feces</v>
      </c>
      <c r="E74" s="20" t="str">
        <f>VLOOKUP(A74,'Table S6C'!A:E,5,FALSE)</f>
        <v>Gastrointestinal tract</v>
      </c>
      <c r="F74" s="20">
        <v>515</v>
      </c>
      <c r="G74" s="21">
        <v>0.99</v>
      </c>
      <c r="H74" s="22">
        <v>7.0000000000000005E-179</v>
      </c>
      <c r="I74" s="20">
        <v>60.92</v>
      </c>
      <c r="J74" s="20">
        <v>425</v>
      </c>
      <c r="K74" s="20" t="str">
        <f>HYPERLINK("https://www.ncbi.nlm.nih.gov/protein/WP_118652856.1?report=genbank&amp;log$=prottop&amp;blast_rank=224&amp;RID=AS58GR0S013","WP_118652856.1")</f>
        <v>WP_118652856.1</v>
      </c>
      <c r="L74" s="23"/>
    </row>
    <row r="75" spans="1:12">
      <c r="A75" s="20" t="s">
        <v>526</v>
      </c>
      <c r="B75" s="20" t="str">
        <f>VLOOKUP(A75,'Table S6C'!A:C,2,FALSE)</f>
        <v>Actinomycetota</v>
      </c>
      <c r="C75" s="20" t="str">
        <f>VLOOKUP(A75,'Table S6C'!A:C,3,FALSE)</f>
        <v>Coriobacteriaceae</v>
      </c>
      <c r="D75" s="20" t="str">
        <f>VLOOKUP(A75,'Table S6C'!A:E,4,FALSE)</f>
        <v>human feces</v>
      </c>
      <c r="E75" s="20" t="str">
        <f>VLOOKUP(A75,'Table S6C'!A:E,5,FALSE)</f>
        <v>Gastrointestinal tract</v>
      </c>
      <c r="F75" s="20">
        <v>506</v>
      </c>
      <c r="G75" s="21">
        <v>0.99</v>
      </c>
      <c r="H75" s="22">
        <v>6E-175</v>
      </c>
      <c r="I75" s="20">
        <v>59.47</v>
      </c>
      <c r="J75" s="20">
        <v>425</v>
      </c>
      <c r="K75" s="20" t="str">
        <f>HYPERLINK("https://www.ncbi.nlm.nih.gov/protein/WP_117776755.1?report=genbank&amp;log$=prottop&amp;blast_rank=269&amp;RID=AS58GR0S013","WP_117776755.1")</f>
        <v>WP_117776755.1</v>
      </c>
      <c r="L75" s="23"/>
    </row>
    <row r="76" spans="1:12">
      <c r="A76" s="20" t="s">
        <v>527</v>
      </c>
      <c r="B76" s="20" t="str">
        <f>VLOOKUP(A76,'Table S6C'!A:C,2,FALSE)</f>
        <v>Actinomycetota</v>
      </c>
      <c r="C76" s="20" t="str">
        <f>VLOOKUP(A76,'Table S6C'!A:C,3,FALSE)</f>
        <v>Coriobacteriaceae</v>
      </c>
      <c r="D76" s="20" t="str">
        <f>VLOOKUP(A76,'Table S6C'!A:E,4,FALSE)</f>
        <v>human feces</v>
      </c>
      <c r="E76" s="20" t="str">
        <f>VLOOKUP(A76,'Table S6C'!A:E,5,FALSE)</f>
        <v>Gastrointestinal tract</v>
      </c>
      <c r="F76" s="20">
        <v>503</v>
      </c>
      <c r="G76" s="21">
        <v>0.99</v>
      </c>
      <c r="H76" s="22">
        <v>6.0000000000000004E-174</v>
      </c>
      <c r="I76" s="20">
        <v>58.98</v>
      </c>
      <c r="J76" s="20">
        <v>425</v>
      </c>
      <c r="K76" s="20" t="str">
        <f>HYPERLINK("https://www.ncbi.nlm.nih.gov/protein/WP_117774316.1?report=genbank&amp;log$=prottop&amp;blast_rank=319&amp;RID=AS58GR0S013","WP_117774316.1")</f>
        <v>WP_117774316.1</v>
      </c>
      <c r="L76" s="23"/>
    </row>
    <row r="77" spans="1:12">
      <c r="A77" s="20" t="s">
        <v>528</v>
      </c>
      <c r="B77" s="20" t="str">
        <f>VLOOKUP(A77,'Table S6C'!A:C,2,FALSE)</f>
        <v>Actinomycetota</v>
      </c>
      <c r="C77" s="20" t="str">
        <f>VLOOKUP(A77,'Table S6C'!A:C,3,FALSE)</f>
        <v>Coriobacteriaceae</v>
      </c>
      <c r="D77" s="20" t="str">
        <f>VLOOKUP(A77,'Table S6C'!A:E,4,FALSE)</f>
        <v>human feces</v>
      </c>
      <c r="E77" s="20" t="str">
        <f>VLOOKUP(A77,'Table S6C'!A:E,5,FALSE)</f>
        <v>Gastrointestinal tract</v>
      </c>
      <c r="F77" s="20">
        <v>505</v>
      </c>
      <c r="G77" s="21">
        <v>0.99</v>
      </c>
      <c r="H77" s="22">
        <v>1E-174</v>
      </c>
      <c r="I77" s="20">
        <v>59.47</v>
      </c>
      <c r="J77" s="20">
        <v>425</v>
      </c>
      <c r="K77" s="20" t="str">
        <f>HYPERLINK("https://www.ncbi.nlm.nih.gov/protein/WP_117848795.1?report=genbank&amp;log$=prottop&amp;blast_rank=296&amp;RID=AS58GR0S013","WP_117848795.1")</f>
        <v>WP_117848795.1</v>
      </c>
      <c r="L77" s="23"/>
    </row>
    <row r="78" spans="1:12">
      <c r="A78" s="20" t="s">
        <v>529</v>
      </c>
      <c r="B78" s="20" t="str">
        <f>VLOOKUP(A78,'Table S6C'!A:C,2,FALSE)</f>
        <v>Actinomycetota</v>
      </c>
      <c r="C78" s="20" t="str">
        <f>VLOOKUP(A78,'Table S6C'!A:C,3,FALSE)</f>
        <v>Coriobacteriaceae</v>
      </c>
      <c r="D78" s="20" t="str">
        <f>VLOOKUP(A78,'Table S6C'!A:E,4,FALSE)</f>
        <v>human feces</v>
      </c>
      <c r="E78" s="20" t="str">
        <f>VLOOKUP(A78,'Table S6C'!A:E,5,FALSE)</f>
        <v>Gastrointestinal tract</v>
      </c>
      <c r="F78" s="20">
        <v>505</v>
      </c>
      <c r="G78" s="21">
        <v>0.99</v>
      </c>
      <c r="H78" s="22">
        <v>1E-174</v>
      </c>
      <c r="I78" s="20">
        <v>59.47</v>
      </c>
      <c r="J78" s="20">
        <v>425</v>
      </c>
      <c r="K78" s="20" t="str">
        <f>HYPERLINK("https://www.ncbi.nlm.nih.gov/protein/WP_118405886.1?report=genbank&amp;log$=prottop&amp;blast_rank=294&amp;RID=AS58GR0S013","WP_118405886.1")</f>
        <v>WP_118405886.1</v>
      </c>
      <c r="L78" s="23"/>
    </row>
    <row r="79" spans="1:12">
      <c r="A79" s="20" t="s">
        <v>530</v>
      </c>
      <c r="B79" s="20" t="str">
        <f>VLOOKUP(A79,'Table S6C'!A:C,2,FALSE)</f>
        <v>Actinomycetota</v>
      </c>
      <c r="C79" s="20" t="str">
        <f>VLOOKUP(A79,'Table S6C'!A:C,3,FALSE)</f>
        <v>Coriobacteriaceae</v>
      </c>
      <c r="D79" s="20" t="str">
        <f>VLOOKUP(A79,'Table S6C'!A:E,4,FALSE)</f>
        <v>human feces</v>
      </c>
      <c r="E79" s="20" t="str">
        <f>VLOOKUP(A79,'Table S6C'!A:E,5,FALSE)</f>
        <v>Gastrointestinal tract</v>
      </c>
      <c r="F79" s="20">
        <v>503</v>
      </c>
      <c r="G79" s="21">
        <v>0.99</v>
      </c>
      <c r="H79" s="22">
        <v>5.0000000000000002E-174</v>
      </c>
      <c r="I79" s="20">
        <v>58.98</v>
      </c>
      <c r="J79" s="20">
        <v>425</v>
      </c>
      <c r="K79" s="20" t="str">
        <f>HYPERLINK("https://www.ncbi.nlm.nih.gov/protein/WP_118238167.1?report=genbank&amp;log$=prottop&amp;blast_rank=317&amp;RID=AS58GR0S013","WP_118238167.1")</f>
        <v>WP_118238167.1</v>
      </c>
      <c r="L79" s="23"/>
    </row>
    <row r="80" spans="1:12">
      <c r="A80" s="20" t="s">
        <v>531</v>
      </c>
      <c r="B80" s="20" t="str">
        <f>VLOOKUP(A80,'Table S6C'!A:C,2,FALSE)</f>
        <v>Actinomycetota</v>
      </c>
      <c r="C80" s="20" t="str">
        <f>VLOOKUP(A80,'Table S6C'!A:C,3,FALSE)</f>
        <v>Coriobacteriaceae</v>
      </c>
      <c r="D80" s="20" t="str">
        <f>VLOOKUP(A80,'Table S6C'!A:E,4,FALSE)</f>
        <v>human feces</v>
      </c>
      <c r="E80" s="20" t="str">
        <f>VLOOKUP(A80,'Table S6C'!A:E,5,FALSE)</f>
        <v>Gastrointestinal tract</v>
      </c>
      <c r="F80" s="20">
        <v>505</v>
      </c>
      <c r="G80" s="21">
        <v>0.99</v>
      </c>
      <c r="H80" s="22">
        <v>9E-175</v>
      </c>
      <c r="I80" s="20">
        <v>59.22</v>
      </c>
      <c r="J80" s="20">
        <v>425</v>
      </c>
      <c r="K80" s="20" t="str">
        <f>HYPERLINK("https://www.ncbi.nlm.nih.gov/protein/WP_118267727.1?report=genbank&amp;log$=prottop&amp;blast_rank=291&amp;RID=AS58GR0S013","WP_118267727.1")</f>
        <v>WP_118267727.1</v>
      </c>
      <c r="L80" s="23"/>
    </row>
    <row r="81" spans="1:12">
      <c r="A81" s="20" t="s">
        <v>532</v>
      </c>
      <c r="B81" s="20" t="str">
        <f>VLOOKUP(A81,'Table S6C'!A:C,2,FALSE)</f>
        <v>Actinomycetota</v>
      </c>
      <c r="C81" s="20" t="str">
        <f>VLOOKUP(A81,'Table S6C'!A:C,3,FALSE)</f>
        <v>Coriobacteriaceae</v>
      </c>
      <c r="D81" s="20" t="str">
        <f>VLOOKUP(A81,'Table S6C'!A:E,4,FALSE)</f>
        <v>human feces</v>
      </c>
      <c r="E81" s="20" t="str">
        <f>VLOOKUP(A81,'Table S6C'!A:E,5,FALSE)</f>
        <v>Gastrointestinal tract</v>
      </c>
      <c r="F81" s="20">
        <v>503</v>
      </c>
      <c r="G81" s="21">
        <v>0.99</v>
      </c>
      <c r="H81" s="22">
        <v>5.0000000000000002E-174</v>
      </c>
      <c r="I81" s="20">
        <v>59.47</v>
      </c>
      <c r="J81" s="20">
        <v>425</v>
      </c>
      <c r="K81" s="20" t="str">
        <f>HYPERLINK("https://www.ncbi.nlm.nih.gov/protein/WP_118098116.1?report=genbank&amp;log$=prottop&amp;blast_rank=314&amp;RID=AS58GR0S013","WP_118098116.1")</f>
        <v>WP_118098116.1</v>
      </c>
      <c r="L81" s="23"/>
    </row>
    <row r="82" spans="1:12">
      <c r="A82" s="20" t="s">
        <v>533</v>
      </c>
      <c r="B82" s="20" t="str">
        <f>VLOOKUP(A82,'Table S6C'!A:C,2,FALSE)</f>
        <v>Actinomycetota</v>
      </c>
      <c r="C82" s="20" t="str">
        <f>VLOOKUP(A82,'Table S6C'!A:C,3,FALSE)</f>
        <v>Coriobacteriaceae</v>
      </c>
      <c r="D82" s="20" t="str">
        <f>VLOOKUP(A82,'Table S6C'!A:E,4,FALSE)</f>
        <v>human feces</v>
      </c>
      <c r="E82" s="20" t="str">
        <f>VLOOKUP(A82,'Table S6C'!A:E,5,FALSE)</f>
        <v>Gastrointestinal tract</v>
      </c>
      <c r="F82" s="20">
        <v>506</v>
      </c>
      <c r="G82" s="21">
        <v>0.99</v>
      </c>
      <c r="H82" s="22">
        <v>2E-175</v>
      </c>
      <c r="I82" s="20">
        <v>59.71</v>
      </c>
      <c r="J82" s="20">
        <v>425</v>
      </c>
      <c r="K82" s="20" t="str">
        <f>HYPERLINK("https://www.ncbi.nlm.nih.gov/protein/WP_118066200.1?report=genbank&amp;log$=prottop&amp;blast_rank=258&amp;RID=AS58GR0S013","WP_118066200.1")</f>
        <v>WP_118066200.1</v>
      </c>
      <c r="L82" s="23"/>
    </row>
    <row r="83" spans="1:12">
      <c r="A83" s="20" t="s">
        <v>534</v>
      </c>
      <c r="B83" s="20" t="str">
        <f>VLOOKUP(A83,'Table S6C'!A:C,2,FALSE)</f>
        <v>Actinomycetota</v>
      </c>
      <c r="C83" s="20" t="str">
        <f>VLOOKUP(A83,'Table S6C'!A:C,3,FALSE)</f>
        <v>Coriobacteriaceae</v>
      </c>
      <c r="D83" s="20" t="str">
        <f>VLOOKUP(A83,'Table S6C'!A:E,4,FALSE)</f>
        <v>human feces</v>
      </c>
      <c r="E83" s="20" t="str">
        <f>VLOOKUP(A83,'Table S6C'!A:E,5,FALSE)</f>
        <v>Gastrointestinal tract</v>
      </c>
      <c r="F83" s="20">
        <v>506</v>
      </c>
      <c r="G83" s="21">
        <v>0.99</v>
      </c>
      <c r="H83" s="22">
        <v>5E-175</v>
      </c>
      <c r="I83" s="20">
        <v>59.47</v>
      </c>
      <c r="J83" s="20">
        <v>425</v>
      </c>
      <c r="K83" s="20" t="str">
        <f>HYPERLINK("https://www.ncbi.nlm.nih.gov/protein/WP_117786916.1?report=genbank&amp;log$=prottop&amp;blast_rank=268&amp;RID=AS58GR0S013","WP_117786916.1")</f>
        <v>WP_117786916.1</v>
      </c>
      <c r="L83" s="23"/>
    </row>
    <row r="84" spans="1:12">
      <c r="A84" s="20" t="s">
        <v>535</v>
      </c>
      <c r="B84" s="20" t="str">
        <f>VLOOKUP(A84,'Table S6C'!A:C,2,FALSE)</f>
        <v>Actinomycetota</v>
      </c>
      <c r="C84" s="20" t="str">
        <f>VLOOKUP(A84,'Table S6C'!A:C,3,FALSE)</f>
        <v>Coriobacteriaceae</v>
      </c>
      <c r="D84" s="20" t="str">
        <f>VLOOKUP(A84,'Table S6C'!A:E,4,FALSE)</f>
        <v>human feces</v>
      </c>
      <c r="E84" s="20" t="str">
        <f>VLOOKUP(A84,'Table S6C'!A:E,5,FALSE)</f>
        <v>Gastrointestinal tract</v>
      </c>
      <c r="F84" s="20">
        <v>479</v>
      </c>
      <c r="G84" s="21">
        <v>0.99</v>
      </c>
      <c r="H84" s="22">
        <v>8.9999999999999998E-165</v>
      </c>
      <c r="I84" s="20">
        <v>58.74</v>
      </c>
      <c r="J84" s="20">
        <v>425</v>
      </c>
      <c r="K84" s="20" t="str">
        <f>HYPERLINK("https://www.ncbi.nlm.nih.gov/protein/WP_117800765.1?report=genbank&amp;log$=prottop&amp;blast_rank=416&amp;RID=AS58GR0S013","WP_117800765.1")</f>
        <v>WP_117800765.1</v>
      </c>
      <c r="L84" s="23"/>
    </row>
    <row r="85" spans="1:12">
      <c r="A85" s="20" t="s">
        <v>536</v>
      </c>
      <c r="B85" s="20" t="str">
        <f>VLOOKUP(A85,'Table S6C'!A:C,2,FALSE)</f>
        <v>Actinomycetota</v>
      </c>
      <c r="C85" s="20" t="str">
        <f>VLOOKUP(A85,'Table S6C'!A:C,3,FALSE)</f>
        <v>Coriobacteriaceae</v>
      </c>
      <c r="D85" s="20" t="str">
        <f>VLOOKUP(A85,'Table S6C'!A:E,4,FALSE)</f>
        <v>human feces</v>
      </c>
      <c r="E85" s="20" t="str">
        <f>VLOOKUP(A85,'Table S6C'!A:E,5,FALSE)</f>
        <v>Gastrointestinal tract</v>
      </c>
      <c r="F85" s="20">
        <v>508</v>
      </c>
      <c r="G85" s="21">
        <v>0.99</v>
      </c>
      <c r="H85" s="22">
        <v>1E-175</v>
      </c>
      <c r="I85" s="20">
        <v>59.71</v>
      </c>
      <c r="J85" s="20">
        <v>425</v>
      </c>
      <c r="K85" s="20" t="str">
        <f>HYPERLINK("https://www.ncbi.nlm.nih.gov/protein/WP_117790293.1?report=genbank&amp;log$=prottop&amp;blast_rank=246&amp;RID=AS58GR0S013","WP_117790293.1")</f>
        <v>WP_117790293.1</v>
      </c>
      <c r="L85" s="23"/>
    </row>
    <row r="86" spans="1:12">
      <c r="A86" s="20" t="s">
        <v>537</v>
      </c>
      <c r="B86" s="20" t="str">
        <f>VLOOKUP(A86,'Table S6C'!A:C,2,FALSE)</f>
        <v>Actinomycetota</v>
      </c>
      <c r="C86" s="20" t="str">
        <f>VLOOKUP(A86,'Table S6C'!A:C,3,FALSE)</f>
        <v>Coriobacteriaceae</v>
      </c>
      <c r="D86" s="20" t="str">
        <f>VLOOKUP(A86,'Table S6C'!A:E,4,FALSE)</f>
        <v>chicken gut anaerobes</v>
      </c>
      <c r="E86" s="20" t="str">
        <f>VLOOKUP(A86,'Table S6C'!A:E,5,FALSE)</f>
        <v>Gastrointestinal tract</v>
      </c>
      <c r="F86" s="20">
        <v>509</v>
      </c>
      <c r="G86" s="21">
        <v>0.99</v>
      </c>
      <c r="H86" s="22">
        <v>2E-176</v>
      </c>
      <c r="I86" s="20">
        <v>60.14</v>
      </c>
      <c r="J86" s="20">
        <v>427</v>
      </c>
      <c r="K86" s="20" t="str">
        <f>HYPERLINK("https://www.ncbi.nlm.nih.gov/protein/WP_087409823.1?report=genbank&amp;log$=prottop&amp;blast_rank=239&amp;RID=AS58GR0S013","WP_087409823.1")</f>
        <v>WP_087409823.1</v>
      </c>
      <c r="L86" s="23"/>
    </row>
    <row r="87" spans="1:12">
      <c r="A87" s="20" t="s">
        <v>539</v>
      </c>
      <c r="B87" s="20" t="str">
        <f>VLOOKUP(A87,'Table S6C'!A:C,2,FALSE)</f>
        <v>Actinomycetota</v>
      </c>
      <c r="C87" s="20" t="str">
        <f>VLOOKUP(A87,'Table S6C'!A:C,3,FALSE)</f>
        <v>Coriobacteriaceae</v>
      </c>
      <c r="D87" s="20" t="str">
        <f>VLOOKUP(A87,'Table S6C'!A:E,4,FALSE)</f>
        <v>human feces</v>
      </c>
      <c r="E87" s="20" t="str">
        <f>VLOOKUP(A87,'Table S6C'!A:E,5,FALSE)</f>
        <v>Gastrointestinal tract</v>
      </c>
      <c r="F87" s="20">
        <v>506</v>
      </c>
      <c r="G87" s="21">
        <v>0.99</v>
      </c>
      <c r="H87" s="22">
        <v>2E-175</v>
      </c>
      <c r="I87" s="20">
        <v>59.71</v>
      </c>
      <c r="J87" s="20">
        <v>425</v>
      </c>
      <c r="K87" s="20" t="str">
        <f>HYPERLINK("https://www.ncbi.nlm.nih.gov/protein/CDA35923.1?report=genbank&amp;log$=prottop&amp;blast_rank=260&amp;RID=AS58GR0S013","CDA35923.1")</f>
        <v>CDA35923.1</v>
      </c>
      <c r="L87" s="23"/>
    </row>
    <row r="88" spans="1:12">
      <c r="A88" s="20" t="s">
        <v>540</v>
      </c>
      <c r="B88" s="20" t="str">
        <f>VLOOKUP(A88,'Table S6C'!A:C,2,FALSE)</f>
        <v>Actinomycetota</v>
      </c>
      <c r="C88" s="20" t="str">
        <f>VLOOKUP(A88,'Table S6C'!A:C,3,FALSE)</f>
        <v>Coriobacteriaceae</v>
      </c>
      <c r="D88" s="20" t="str">
        <f>VLOOKUP(A88,'Table S6C'!A:E,4,FALSE)</f>
        <v>human feces</v>
      </c>
      <c r="E88" s="20" t="str">
        <f>VLOOKUP(A88,'Table S6C'!A:E,5,FALSE)</f>
        <v>Gastrointestinal tract</v>
      </c>
      <c r="F88" s="20">
        <v>499</v>
      </c>
      <c r="G88" s="21">
        <v>0.99</v>
      </c>
      <c r="H88" s="22">
        <v>2.9999999999999998E-172</v>
      </c>
      <c r="I88" s="20">
        <v>57.97</v>
      </c>
      <c r="J88" s="20">
        <v>428</v>
      </c>
      <c r="K88" s="20" t="str">
        <f>HYPERLINK("https://www.ncbi.nlm.nih.gov/protein/CDD84350.1?report=genbank&amp;log$=prottop&amp;blast_rank=349&amp;RID=AS58GR0S013","CDD84350.1")</f>
        <v>CDD84350.1</v>
      </c>
      <c r="L88" s="23"/>
    </row>
    <row r="89" spans="1:12">
      <c r="A89" s="20" t="s">
        <v>541</v>
      </c>
      <c r="B89" s="20" t="str">
        <f>VLOOKUP(A89,'Table S6C'!A:C,2,FALSE)</f>
        <v>Actinomycetota</v>
      </c>
      <c r="C89" s="20" t="str">
        <f>VLOOKUP(A89,'Table S6C'!A:C,3,FALSE)</f>
        <v>Coriobacteriaceae</v>
      </c>
      <c r="D89" s="20" t="str">
        <f>VLOOKUP(A89,'Table S6C'!A:E,4,FALSE)</f>
        <v>human feces</v>
      </c>
      <c r="E89" s="20" t="str">
        <f>VLOOKUP(A89,'Table S6C'!A:E,5,FALSE)</f>
        <v>Gastrointestinal tract</v>
      </c>
      <c r="F89" s="20">
        <v>505</v>
      </c>
      <c r="G89" s="21">
        <v>0.99</v>
      </c>
      <c r="H89" s="22">
        <v>6E-175</v>
      </c>
      <c r="I89" s="20">
        <v>59.22</v>
      </c>
      <c r="J89" s="20">
        <v>425</v>
      </c>
      <c r="K89" s="20" t="str">
        <f>HYPERLINK("https://www.ncbi.nlm.nih.gov/protein/WP_117806056.1?report=genbank&amp;log$=prottop&amp;blast_rank=273&amp;RID=AS58GR0S013","WP_117806056.1")</f>
        <v>WP_117806056.1</v>
      </c>
      <c r="L89" s="23"/>
    </row>
    <row r="90" spans="1:12">
      <c r="A90" s="20" t="s">
        <v>542</v>
      </c>
      <c r="B90" s="20" t="str">
        <f>VLOOKUP(A90,'Table S6C'!A:C,2,FALSE)</f>
        <v>Actinomycetota</v>
      </c>
      <c r="C90" s="20" t="str">
        <f>VLOOKUP(A90,'Table S6C'!A:C,3,FALSE)</f>
        <v>Coriobacteriaceae</v>
      </c>
      <c r="D90" s="20" t="str">
        <f>VLOOKUP(A90,'Table S6C'!A:E,4,FALSE)</f>
        <v>human feces</v>
      </c>
      <c r="E90" s="20" t="str">
        <f>VLOOKUP(A90,'Table S6C'!A:E,5,FALSE)</f>
        <v>Gastrointestinal tract</v>
      </c>
      <c r="F90" s="20">
        <v>503</v>
      </c>
      <c r="G90" s="21">
        <v>0.99</v>
      </c>
      <c r="H90" s="22">
        <v>5.0000000000000002E-174</v>
      </c>
      <c r="I90" s="20">
        <v>58.98</v>
      </c>
      <c r="J90" s="20">
        <v>425</v>
      </c>
      <c r="K90" s="20" t="str">
        <f>HYPERLINK("https://www.ncbi.nlm.nih.gov/protein/WP_117736886.1?report=genbank&amp;log$=prottop&amp;blast_rank=315&amp;RID=AS58GR0S013","WP_117736886.1")</f>
        <v>WP_117736886.1</v>
      </c>
      <c r="L90" s="23"/>
    </row>
    <row r="91" spans="1:12">
      <c r="A91" s="20" t="s">
        <v>543</v>
      </c>
      <c r="B91" s="20" t="str">
        <f>VLOOKUP(A91,'Table S6C'!A:C,2,FALSE)</f>
        <v>Actinomycetota</v>
      </c>
      <c r="C91" s="20" t="str">
        <f>VLOOKUP(A91,'Table S6C'!A:C,3,FALSE)</f>
        <v>Coriobacteriaceae</v>
      </c>
      <c r="D91" s="20" t="str">
        <f>VLOOKUP(A91,'Table S6C'!A:E,4,FALSE)</f>
        <v>human feces</v>
      </c>
      <c r="E91" s="20" t="str">
        <f>VLOOKUP(A91,'Table S6C'!A:E,5,FALSE)</f>
        <v>Gastrointestinal tract</v>
      </c>
      <c r="F91" s="20">
        <v>506</v>
      </c>
      <c r="G91" s="21">
        <v>0.99</v>
      </c>
      <c r="H91" s="22">
        <v>6E-175</v>
      </c>
      <c r="I91" s="20">
        <v>59.47</v>
      </c>
      <c r="J91" s="20">
        <v>425</v>
      </c>
      <c r="K91" s="20" t="str">
        <f>HYPERLINK("https://www.ncbi.nlm.nih.gov/protein/WP_117716145.1?report=genbank&amp;log$=prottop&amp;blast_rank=271&amp;RID=AS58GR0S013","WP_117716145.1")</f>
        <v>WP_117716145.1</v>
      </c>
      <c r="L91" s="23"/>
    </row>
    <row r="92" spans="1:12">
      <c r="A92" s="20" t="s">
        <v>544</v>
      </c>
      <c r="B92" s="20" t="str">
        <f>VLOOKUP(A92,'Table S6C'!A:C,2,FALSE)</f>
        <v>Actinomycetota</v>
      </c>
      <c r="C92" s="20" t="str">
        <f>VLOOKUP(A92,'Table S6C'!A:C,3,FALSE)</f>
        <v>Coriobacteriaceae</v>
      </c>
      <c r="D92" s="20" t="str">
        <f>VLOOKUP(A92,'Table S6C'!A:E,4,FALSE)</f>
        <v>human feces</v>
      </c>
      <c r="E92" s="20" t="str">
        <f>VLOOKUP(A92,'Table S6C'!A:E,5,FALSE)</f>
        <v>Gastrointestinal tract</v>
      </c>
      <c r="F92" s="20">
        <v>503</v>
      </c>
      <c r="G92" s="21">
        <v>0.99</v>
      </c>
      <c r="H92" s="22">
        <v>8.9999999999999993E-174</v>
      </c>
      <c r="I92" s="20">
        <v>58.74</v>
      </c>
      <c r="J92" s="20">
        <v>425</v>
      </c>
      <c r="K92" s="20" t="str">
        <f>HYPERLINK("https://www.ncbi.nlm.nih.gov/protein/WP_117638137.1?report=genbank&amp;log$=prottop&amp;blast_rank=324&amp;RID=AS58GR0S013","WP_117638137.1")</f>
        <v>WP_117638137.1</v>
      </c>
      <c r="L92" s="23"/>
    </row>
    <row r="93" spans="1:12">
      <c r="A93" s="20" t="s">
        <v>545</v>
      </c>
      <c r="B93" s="20" t="str">
        <f>VLOOKUP(A93,'Table S6C'!A:C,2,FALSE)</f>
        <v>Actinomycetota</v>
      </c>
      <c r="C93" s="20" t="str">
        <f>VLOOKUP(A93,'Table S6C'!A:C,3,FALSE)</f>
        <v>Coriobacteriaceae</v>
      </c>
      <c r="D93" s="20" t="str">
        <f>VLOOKUP(A93,'Table S6C'!A:E,4,FALSE)</f>
        <v>unknown</v>
      </c>
      <c r="E93" s="20">
        <f>VLOOKUP(A93,'Table S6C'!A:E,5,FALSE)</f>
        <v>0</v>
      </c>
      <c r="F93" s="20">
        <v>503</v>
      </c>
      <c r="G93" s="21">
        <v>0.99</v>
      </c>
      <c r="H93" s="22">
        <v>5.0000000000000002E-174</v>
      </c>
      <c r="I93" s="20">
        <v>59.42</v>
      </c>
      <c r="J93" s="20">
        <v>428</v>
      </c>
      <c r="K93" s="20" t="str">
        <f>HYPERLINK("https://www.ncbi.nlm.nih.gov/protein/WP_216279102.1?report=genbank&amp;log$=prottop&amp;blast_rank=316&amp;RID=AS58GR0S013","WP_216279102.1")</f>
        <v>WP_216279102.1</v>
      </c>
      <c r="L93" s="23"/>
    </row>
    <row r="94" spans="1:12">
      <c r="A94" s="20" t="s">
        <v>546</v>
      </c>
      <c r="B94" s="20" t="str">
        <f>VLOOKUP(A94,'Table S6C'!A:C,2,FALSE)</f>
        <v>Actinomycetota</v>
      </c>
      <c r="C94" s="20" t="str">
        <f>VLOOKUP(A94,'Table S6C'!A:C,3,FALSE)</f>
        <v>Coriobacteriaceae</v>
      </c>
      <c r="D94" s="20" t="str">
        <f>VLOOKUP(A94,'Table S6C'!A:E,4,FALSE)</f>
        <v>human feces</v>
      </c>
      <c r="E94" s="20" t="str">
        <f>VLOOKUP(A94,'Table S6C'!A:E,5,FALSE)</f>
        <v>Gastrointestinal tract</v>
      </c>
      <c r="F94" s="20">
        <v>520</v>
      </c>
      <c r="G94" s="21">
        <v>0.99</v>
      </c>
      <c r="H94" s="22">
        <v>2E-180</v>
      </c>
      <c r="I94" s="20">
        <v>61.5</v>
      </c>
      <c r="J94" s="20">
        <v>425</v>
      </c>
      <c r="K94" s="20" t="str">
        <f>HYPERLINK("https://www.ncbi.nlm.nih.gov/protein/WP_276672383.1?report=genbank&amp;log$=prottop&amp;blast_rank=215&amp;RID=AS58GR0S013","WP_276672383.1")</f>
        <v>WP_276672383.1</v>
      </c>
      <c r="L94" s="23"/>
    </row>
    <row r="95" spans="1:12">
      <c r="A95" s="20" t="s">
        <v>547</v>
      </c>
      <c r="B95" s="20" t="str">
        <f>VLOOKUP(A95,'Table S6C'!A:C,2,FALSE)</f>
        <v>Actinomycetota</v>
      </c>
      <c r="C95" s="20" t="str">
        <f>VLOOKUP(A95,'Table S6C'!A:C,3,FALSE)</f>
        <v>Coriobacteriaceae</v>
      </c>
      <c r="D95" s="20" t="str">
        <f>VLOOKUP(A95,'Table S6C'!A:E,4,FALSE)</f>
        <v>human feces</v>
      </c>
      <c r="E95" s="20" t="str">
        <f>VLOOKUP(A95,'Table S6C'!A:E,5,FALSE)</f>
        <v>Gastrointestinal tract</v>
      </c>
      <c r="F95" s="20">
        <v>510</v>
      </c>
      <c r="G95" s="21">
        <v>0.99</v>
      </c>
      <c r="H95" s="22">
        <v>9.0000000000000007E-177</v>
      </c>
      <c r="I95" s="20">
        <v>60.58</v>
      </c>
      <c r="J95" s="20">
        <v>425</v>
      </c>
      <c r="K95" s="20" t="str">
        <f>HYPERLINK("https://www.ncbi.nlm.nih.gov/protein/WP_270239763.1?report=genbank&amp;log$=prottop&amp;blast_rank=238&amp;RID=AS58GR0S013","WP_270239763.1")</f>
        <v>WP_270239763.1</v>
      </c>
      <c r="L95" s="23"/>
    </row>
    <row r="96" spans="1:12">
      <c r="A96" s="20" t="s">
        <v>548</v>
      </c>
      <c r="B96" s="20" t="str">
        <f>VLOOKUP(A96,'Table S6C'!A:C,2,FALSE)</f>
        <v>Actinomycetota</v>
      </c>
      <c r="C96" s="20" t="str">
        <f>VLOOKUP(A96,'Table S6C'!A:C,3,FALSE)</f>
        <v>Coriobacteriaceae</v>
      </c>
      <c r="D96" s="20" t="str">
        <f>VLOOKUP(A96,'Table S6C'!A:E,4,FALSE)</f>
        <v>swine feces</v>
      </c>
      <c r="E96" s="20" t="str">
        <f>VLOOKUP(A96,'Table S6C'!A:E,5,FALSE)</f>
        <v>Gastrointestinal tract</v>
      </c>
      <c r="F96" s="20">
        <v>514</v>
      </c>
      <c r="G96" s="21">
        <v>0.99</v>
      </c>
      <c r="H96" s="22">
        <v>1.9999999999999999E-178</v>
      </c>
      <c r="I96" s="20">
        <v>60.87</v>
      </c>
      <c r="J96" s="20">
        <v>428</v>
      </c>
      <c r="K96" s="20" t="str">
        <f>HYPERLINK("https://www.ncbi.nlm.nih.gov/protein/MBY4798126.1?report=genbank&amp;log$=prottop&amp;blast_rank=229&amp;RID=AS58GR0S013","MBY4798126.1")</f>
        <v>MBY4798126.1</v>
      </c>
      <c r="L96" s="23"/>
    </row>
    <row r="97" spans="1:12">
      <c r="A97" s="20" t="s">
        <v>550</v>
      </c>
      <c r="B97" s="20" t="str">
        <f>VLOOKUP(A97,'Table S6C'!A:C,2,FALSE)</f>
        <v>Actinomycetota</v>
      </c>
      <c r="C97" s="20" t="str">
        <f>VLOOKUP(A97,'Table S6C'!A:C,3,FALSE)</f>
        <v>Coriobacteriaceae</v>
      </c>
      <c r="D97" s="20" t="str">
        <f>VLOOKUP(A97,'Table S6C'!A:E,4,FALSE)</f>
        <v>patient suffering from bacterial vaginosis</v>
      </c>
      <c r="E97" s="20" t="str">
        <f>VLOOKUP(A97,'Table S6C'!A:E,5,FALSE)</f>
        <v>infection</v>
      </c>
      <c r="F97" s="20">
        <v>506</v>
      </c>
      <c r="G97" s="21">
        <v>0.99</v>
      </c>
      <c r="H97" s="22">
        <v>4E-175</v>
      </c>
      <c r="I97" s="20">
        <v>59.42</v>
      </c>
      <c r="J97" s="20">
        <v>427</v>
      </c>
      <c r="K97" s="20" t="str">
        <f>HYPERLINK("https://www.ncbi.nlm.nih.gov/protein/WP_085830651.1?report=genbank&amp;log$=prottop&amp;blast_rank=266&amp;RID=AS58GR0S013","WP_085830651.1")</f>
        <v>WP_085830651.1</v>
      </c>
      <c r="L97" s="23"/>
    </row>
    <row r="98" spans="1:12">
      <c r="A98" s="20" t="s">
        <v>552</v>
      </c>
      <c r="B98" s="20" t="str">
        <f>VLOOKUP(A98,'Table S6C'!A:C,2,FALSE)</f>
        <v>Actinomycetota</v>
      </c>
      <c r="C98" s="20" t="str">
        <f>VLOOKUP(A98,'Table S6C'!A:C,3,FALSE)</f>
        <v>Coriobacteriaceae</v>
      </c>
      <c r="D98" s="20" t="str">
        <f>VLOOKUP(A98,'Table S6C'!A:E,4,FALSE)</f>
        <v>human feces</v>
      </c>
      <c r="E98" s="20" t="str">
        <f>VLOOKUP(A98,'Table S6C'!A:E,5,FALSE)</f>
        <v>Gastrointestinal tract</v>
      </c>
      <c r="F98" s="20">
        <v>509</v>
      </c>
      <c r="G98" s="21">
        <v>0.99</v>
      </c>
      <c r="H98" s="22">
        <v>2E-176</v>
      </c>
      <c r="I98" s="20">
        <v>59.95</v>
      </c>
      <c r="J98" s="20">
        <v>425</v>
      </c>
      <c r="K98" s="20" t="str">
        <f>HYPERLINK("https://www.ncbi.nlm.nih.gov/protein/MBE6468447.1?report=genbank&amp;log$=prottop&amp;blast_rank=240&amp;RID=AS58GR0S013","MBE6468447.1")</f>
        <v>MBE6468447.1</v>
      </c>
      <c r="L98" s="23"/>
    </row>
    <row r="99" spans="1:12">
      <c r="A99" s="20" t="s">
        <v>553</v>
      </c>
      <c r="B99" s="20" t="str">
        <f>VLOOKUP(A99,'Table S6C'!A:C,2,FALSE)</f>
        <v>Actinomycetota</v>
      </c>
      <c r="C99" s="20" t="str">
        <f>VLOOKUP(A99,'Table S6C'!A:C,3,FALSE)</f>
        <v>Coriobacteriaceae</v>
      </c>
      <c r="D99" s="20" t="str">
        <f>VLOOKUP(A99,'Table S6C'!A:E,4,FALSE)</f>
        <v>human feces</v>
      </c>
      <c r="E99" s="20" t="str">
        <f>VLOOKUP(A99,'Table S6C'!A:E,5,FALSE)</f>
        <v>Gastrointestinal tract</v>
      </c>
      <c r="F99" s="20">
        <v>489</v>
      </c>
      <c r="G99" s="21">
        <v>1</v>
      </c>
      <c r="H99" s="22">
        <v>1E-168</v>
      </c>
      <c r="I99" s="20">
        <v>59.38</v>
      </c>
      <c r="J99" s="20">
        <v>417</v>
      </c>
      <c r="K99" s="20" t="str">
        <f>HYPERLINK("https://www.ncbi.nlm.nih.gov/protein/PWM34891.1?report=genbank&amp;log$=prottop&amp;blast_rank=380&amp;RID=AS58GR0S013","PWM34891.1")</f>
        <v>PWM34891.1</v>
      </c>
      <c r="L99" s="23"/>
    </row>
    <row r="100" spans="1:12">
      <c r="A100" s="20" t="s">
        <v>554</v>
      </c>
      <c r="B100" s="20" t="str">
        <f>VLOOKUP(A100,'Table S6C'!A:C,2,FALSE)</f>
        <v>Thermotogota</v>
      </c>
      <c r="C100" s="20" t="str">
        <f>VLOOKUP(A100,'Table S6C'!A:C,3,FALSE)</f>
        <v>Petrotogaceae</v>
      </c>
      <c r="D100" s="20" t="str">
        <f>VLOOKUP(A100,'Table S6C'!A:E,4,FALSE)</f>
        <v>mesothermic and anaerobic whey digester</v>
      </c>
      <c r="E100" s="20" t="str">
        <f>VLOOKUP(A100,'Table S6C'!A:E,5,FALSE)</f>
        <v>Engineered</v>
      </c>
      <c r="F100" s="20">
        <v>622</v>
      </c>
      <c r="G100" s="21">
        <v>1</v>
      </c>
      <c r="H100" s="20">
        <v>0</v>
      </c>
      <c r="I100" s="20">
        <v>72.88</v>
      </c>
      <c r="J100" s="20">
        <v>413</v>
      </c>
      <c r="K100" s="20" t="str">
        <f>HYPERLINK("https://www.ncbi.nlm.nih.gov/protein/HHV01538.1?report=genbank&amp;log$=prottop&amp;blast_rank=108&amp;RID=AS58GR0S013","HHV01538.1")</f>
        <v>HHV01538.1</v>
      </c>
      <c r="L100" s="23"/>
    </row>
    <row r="101" spans="1:12">
      <c r="A101" s="20" t="s">
        <v>558</v>
      </c>
      <c r="B101" s="20" t="str">
        <f>VLOOKUP(A101,'Table S6C'!A:C,2,FALSE)</f>
        <v>delta/epsilon subdivisions</v>
      </c>
      <c r="C101" s="20"/>
      <c r="D101" s="20" t="str">
        <f>VLOOKUP(A101,'Table S6C'!A:E,4,FALSE)</f>
        <v>insect guts</v>
      </c>
      <c r="E101" s="20" t="str">
        <f>VLOOKUP(A101,'Table S6C'!A:E,5,FALSE)</f>
        <v>Gastrointestinal tract</v>
      </c>
      <c r="F101" s="20">
        <v>598</v>
      </c>
      <c r="G101" s="21">
        <v>1</v>
      </c>
      <c r="H101" s="20">
        <v>0</v>
      </c>
      <c r="I101" s="20">
        <v>69.73</v>
      </c>
      <c r="J101" s="20">
        <v>414</v>
      </c>
      <c r="K101" s="20" t="str">
        <f>HYPERLINK("https://www.ncbi.nlm.nih.gov/protein/UQZ88881.1?report=genbank&amp;log$=prottop&amp;blast_rank=168&amp;RID=AS58GR0S013","UQZ88881.1")</f>
        <v>UQZ88881.1</v>
      </c>
      <c r="L101" s="23"/>
    </row>
    <row r="102" spans="1:12">
      <c r="A102" s="20" t="s">
        <v>562</v>
      </c>
      <c r="B102" s="20" t="str">
        <f>VLOOKUP(A102,'Table S6C'!A:C,2,FALSE)</f>
        <v> Bacillota</v>
      </c>
      <c r="C102" s="20" t="str">
        <f>VLOOKUP(A102,'Table S6C'!A:C,3,FALSE)</f>
        <v>Desulfitobacteriaceae</v>
      </c>
      <c r="D102" s="20" t="str">
        <f>VLOOKUP(A102,'Table S6C'!A:E,4,FALSE)</f>
        <v>unknown</v>
      </c>
      <c r="E102" s="20"/>
      <c r="F102" s="20">
        <v>558</v>
      </c>
      <c r="G102" s="21">
        <v>0.99</v>
      </c>
      <c r="H102" s="20">
        <v>0</v>
      </c>
      <c r="I102" s="20">
        <v>64.63</v>
      </c>
      <c r="J102" s="20">
        <v>415</v>
      </c>
      <c r="K102" s="20" t="str">
        <f>HYPERLINK("https://www.ncbi.nlm.nih.gov/protein/WP_135379930.1?report=genbank&amp;log$=prottop&amp;blast_rank=208&amp;RID=AS58GR0S013","WP_135379930.1")</f>
        <v>WP_135379930.1</v>
      </c>
      <c r="L102" s="23"/>
    </row>
    <row r="103" spans="1:12">
      <c r="A103" s="20" t="s">
        <v>564</v>
      </c>
      <c r="B103" s="20" t="str">
        <f>VLOOKUP(A103,'Table S6C'!A:C,2,FALSE)</f>
        <v> Bacillota</v>
      </c>
      <c r="C103" s="20" t="str">
        <f>VLOOKUP(A103,'Table S6C'!A:C,3,FALSE)</f>
        <v>Erysipelotrichaceae</v>
      </c>
      <c r="D103" s="20" t="str">
        <f>VLOOKUP(A103,'Table S6C'!A:E,4,FALSE)</f>
        <v>human feces</v>
      </c>
      <c r="E103" s="20" t="str">
        <f>VLOOKUP(A103,'Table S6C'!A:E,5,FALSE)</f>
        <v>Gastrointestinal tract</v>
      </c>
      <c r="F103" s="20">
        <v>736</v>
      </c>
      <c r="G103" s="21">
        <v>0.99</v>
      </c>
      <c r="H103" s="20">
        <v>0</v>
      </c>
      <c r="I103" s="20">
        <v>84.95</v>
      </c>
      <c r="J103" s="20">
        <v>413</v>
      </c>
      <c r="K103" s="20" t="str">
        <f>HYPERLINK("https://www.ncbi.nlm.nih.gov/protein/WP_022937863.1?report=genbank&amp;log$=prottop&amp;blast_rank=42&amp;RID=AS58GR0S013","WP_022937863.1")</f>
        <v>WP_022937863.1</v>
      </c>
      <c r="L103" s="23"/>
    </row>
    <row r="104" spans="1:12">
      <c r="A104" s="20" t="s">
        <v>565</v>
      </c>
      <c r="B104" s="20" t="str">
        <f>VLOOKUP(A104,'Table S6C'!A:C,2,FALSE)</f>
        <v>Actinomycetota</v>
      </c>
      <c r="C104" s="20" t="str">
        <f>VLOOKUP(A104,'Table S6C'!A:C,3,FALSE)</f>
        <v>Coriobacteriaceae</v>
      </c>
      <c r="D104" s="20" t="str">
        <f>VLOOKUP(A104,'Table S6C'!A:E,4,FALSE)</f>
        <v>stool sample from a patient</v>
      </c>
      <c r="E104" s="20" t="str">
        <f>VLOOKUP(A104,'Table S6C'!A:E,5,FALSE)</f>
        <v>infection</v>
      </c>
      <c r="F104" s="20">
        <v>506</v>
      </c>
      <c r="G104" s="21">
        <v>0.99</v>
      </c>
      <c r="H104" s="22">
        <v>4E-175</v>
      </c>
      <c r="I104" s="20">
        <v>59.42</v>
      </c>
      <c r="J104" s="20">
        <v>427</v>
      </c>
      <c r="K104" s="20" t="str">
        <f>HYPERLINK("https://www.ncbi.nlm.nih.gov/protein/WP_289544717.1?report=genbank&amp;log$=prottop&amp;blast_rank=263&amp;RID=AS58GR0S013","WP_289544717.1")</f>
        <v>WP_289544717.1</v>
      </c>
      <c r="L104" s="23"/>
    </row>
    <row r="105" spans="1:12">
      <c r="A105" s="20" t="s">
        <v>567</v>
      </c>
      <c r="B105" s="20" t="str">
        <f>VLOOKUP(A105,'Table S6C'!A:C,2,FALSE)</f>
        <v> Bacillota</v>
      </c>
      <c r="C105" s="20" t="str">
        <f>VLOOKUP(A105,'Table S6C'!A:C,3,FALSE)</f>
        <v>Lachnospiraceae</v>
      </c>
      <c r="D105" s="20" t="str">
        <f>VLOOKUP(A105,'Table S6C'!A:E,4,FALSE)</f>
        <v>clinical infections in California</v>
      </c>
      <c r="E105" s="20" t="str">
        <f>VLOOKUP(A105,'Table S6C'!A:E,5,FALSE)</f>
        <v>infection</v>
      </c>
      <c r="F105" s="20">
        <v>606</v>
      </c>
      <c r="G105" s="21">
        <v>1</v>
      </c>
      <c r="H105" s="20">
        <v>0</v>
      </c>
      <c r="I105" s="20">
        <v>69.98</v>
      </c>
      <c r="J105" s="20">
        <v>413</v>
      </c>
      <c r="K105" s="20" t="str">
        <f>HYPERLINK("https://www.ncbi.nlm.nih.gov/protein/WP_117557731.1?report=genbank&amp;log$=prottop&amp;blast_rank=135&amp;RID=AS58GR0S013","WP_117557731.1")</f>
        <v>WP_117557731.1</v>
      </c>
      <c r="L105" s="23"/>
    </row>
    <row r="106" spans="1:12">
      <c r="A106" s="20" t="s">
        <v>569</v>
      </c>
      <c r="B106" s="20" t="str">
        <f>VLOOKUP(A106,'Table S6C'!A:C,2,FALSE)</f>
        <v> Bacillota</v>
      </c>
      <c r="C106" s="20" t="str">
        <f>VLOOKUP(A106,'Table S6C'!A:C,3,FALSE)</f>
        <v>Lachnospiraceae</v>
      </c>
      <c r="D106" s="20" t="str">
        <f>VLOOKUP(A106,'Table S6C'!A:E,4,FALSE)</f>
        <v>clinical infections in California</v>
      </c>
      <c r="E106" s="20" t="str">
        <f>VLOOKUP(A106,'Table S6C'!A:E,5,FALSE)</f>
        <v>infection</v>
      </c>
      <c r="F106" s="20">
        <v>603</v>
      </c>
      <c r="G106" s="21">
        <v>1</v>
      </c>
      <c r="H106" s="20">
        <v>0</v>
      </c>
      <c r="I106" s="20">
        <v>69.73</v>
      </c>
      <c r="J106" s="20">
        <v>413</v>
      </c>
      <c r="K106" s="20" t="str">
        <f>HYPERLINK("https://www.ncbi.nlm.nih.gov/protein/WP_083425160.1?report=genbank&amp;log$=prottop&amp;blast_rank=149&amp;RID=AS58GR0S013","WP_083425160.1")</f>
        <v>WP_083425160.1</v>
      </c>
      <c r="L106" s="23"/>
    </row>
    <row r="107" spans="1:12">
      <c r="A107" s="20" t="s">
        <v>570</v>
      </c>
      <c r="B107" s="20" t="str">
        <f>VLOOKUP(A107,'Table S6C'!A:C,2,FALSE)</f>
        <v> Bacillota</v>
      </c>
      <c r="C107" s="20" t="str">
        <f>VLOOKUP(A107,'Table S6C'!A:C,3,FALSE)</f>
        <v>Lachnospiraceae</v>
      </c>
      <c r="D107" s="20" t="str">
        <f>VLOOKUP(A107,'Table S6C'!A:E,4,FALSE)</f>
        <v>human feces</v>
      </c>
      <c r="E107" s="20" t="str">
        <f>VLOOKUP(A107,'Table S6C'!A:E,5,FALSE)</f>
        <v>Gastrointestinal tract</v>
      </c>
      <c r="F107" s="20">
        <v>842</v>
      </c>
      <c r="G107" s="21">
        <v>1</v>
      </c>
      <c r="H107" s="20">
        <v>0</v>
      </c>
      <c r="I107" s="20">
        <v>98.06</v>
      </c>
      <c r="J107" s="20">
        <v>413</v>
      </c>
      <c r="K107" s="20" t="str">
        <f>HYPERLINK("https://www.ncbi.nlm.nih.gov/protein/WP_002585925.1?report=genbank&amp;log$=prottop&amp;blast_rank=4&amp;RID=AS58GR0S013","WP_002585925.1")</f>
        <v>WP_002585925.1</v>
      </c>
      <c r="L107" s="23"/>
    </row>
    <row r="108" spans="1:12">
      <c r="A108" s="20" t="s">
        <v>571</v>
      </c>
      <c r="B108" s="20" t="str">
        <f>VLOOKUP(A108,'Table S6C'!A:C,2,FALSE)</f>
        <v> Bacillota</v>
      </c>
      <c r="C108" s="20" t="str">
        <f>VLOOKUP(A108,'Table S6C'!A:C,3,FALSE)</f>
        <v>Enterococcaceae</v>
      </c>
      <c r="D108" s="20" t="str">
        <f>VLOOKUP(A108,'Table S6C'!A:E,4,FALSE)</f>
        <v xml:space="preserve">gut </v>
      </c>
      <c r="E108" s="20" t="str">
        <f>VLOOKUP(A108,'Table S6C'!A:E,5,FALSE)</f>
        <v>Gastrointestinal tract</v>
      </c>
      <c r="F108" s="20">
        <v>745</v>
      </c>
      <c r="G108" s="21">
        <v>1</v>
      </c>
      <c r="H108" s="20">
        <v>0</v>
      </c>
      <c r="I108" s="20">
        <v>84.99</v>
      </c>
      <c r="J108" s="20">
        <v>413</v>
      </c>
      <c r="K108" s="20" t="str">
        <f>HYPERLINK("https://www.ncbi.nlm.nih.gov/protein/MCD7961861.1?report=genbank&amp;log$=prottop&amp;blast_rank=29&amp;RID=AS58GR0S013","MCD7961861.1")</f>
        <v>MCD7961861.1</v>
      </c>
      <c r="L108" s="23"/>
    </row>
    <row r="109" spans="1:12">
      <c r="A109" s="20" t="s">
        <v>574</v>
      </c>
      <c r="B109" s="20" t="str">
        <f>VLOOKUP(A109,'Table S6C'!A:C,2,FALSE)</f>
        <v> Bacillota</v>
      </c>
      <c r="C109" s="20" t="str">
        <f>VLOOKUP(A109,'Table S6C'!A:C,3,FALSE)</f>
        <v>Erysipelotrichaceae</v>
      </c>
      <c r="D109" s="20" t="str">
        <f>VLOOKUP(A109,'Table S6C'!A:E,4,FALSE)</f>
        <v>pig gut</v>
      </c>
      <c r="E109" s="20" t="str">
        <f>VLOOKUP(A109,'Table S6C'!A:E,5,FALSE)</f>
        <v>Gastrointestinal tract</v>
      </c>
      <c r="F109" s="20">
        <v>763</v>
      </c>
      <c r="G109" s="21">
        <v>0.99</v>
      </c>
      <c r="H109" s="20">
        <v>0</v>
      </c>
      <c r="I109" s="20">
        <v>88.83</v>
      </c>
      <c r="J109" s="20">
        <v>413</v>
      </c>
      <c r="K109" s="20" t="str">
        <f>HYPERLINK("https://www.ncbi.nlm.nih.gov/protein/MCI5773468.1?report=genbank&amp;log$=prottop&amp;blast_rank=15&amp;RID=AS58GR0S013","MCI5773468.1")</f>
        <v>MCI5773468.1</v>
      </c>
      <c r="L109" s="23"/>
    </row>
    <row r="110" spans="1:12">
      <c r="A110" s="20" t="s">
        <v>576</v>
      </c>
      <c r="B110" s="20" t="str">
        <f>VLOOKUP(A110,'Table S6C'!A:C,2,FALSE)</f>
        <v> Bacillota</v>
      </c>
      <c r="C110" s="20" t="str">
        <f>VLOOKUP(A110,'Table S6C'!A:C,3,FALSE)</f>
        <v>Eubacteriaceae</v>
      </c>
      <c r="D110" s="20" t="str">
        <f>VLOOKUP(A110,'Table S6C'!A:E,4,FALSE)</f>
        <v>pig gut</v>
      </c>
      <c r="E110" s="20" t="str">
        <f>VLOOKUP(A110,'Table S6C'!A:E,5,FALSE)</f>
        <v>Gastrointestinal tract</v>
      </c>
      <c r="F110" s="20">
        <v>607</v>
      </c>
      <c r="G110" s="21">
        <v>1</v>
      </c>
      <c r="H110" s="20">
        <v>0</v>
      </c>
      <c r="I110" s="20">
        <v>71.569999999999993</v>
      </c>
      <c r="J110" s="20">
        <v>414</v>
      </c>
      <c r="K110" s="20" t="str">
        <f>HYPERLINK("https://www.ncbi.nlm.nih.gov/protein/MCI5998671.1?report=genbank&amp;log$=prottop&amp;blast_rank=131&amp;RID=AS58GR0S013","MCI5998671.1")</f>
        <v>MCI5998671.1</v>
      </c>
      <c r="L110" s="23"/>
    </row>
    <row r="111" spans="1:12">
      <c r="A111" s="20" t="s">
        <v>577</v>
      </c>
      <c r="B111" s="20" t="str">
        <f>VLOOKUP(A111,'Table S6C'!A:C,2,FALSE)</f>
        <v> Bacillota</v>
      </c>
      <c r="C111" s="20"/>
      <c r="D111" s="20" t="str">
        <f>VLOOKUP(A111,'Table S6C'!A:E,4,FALSE)</f>
        <v>pig gut</v>
      </c>
      <c r="E111" s="20" t="str">
        <f>VLOOKUP(A111,'Table S6C'!A:E,5,FALSE)</f>
        <v>Gastrointestinal tract</v>
      </c>
      <c r="F111" s="20">
        <v>606</v>
      </c>
      <c r="G111" s="21">
        <v>1</v>
      </c>
      <c r="H111" s="20">
        <v>0</v>
      </c>
      <c r="I111" s="20">
        <v>71.08</v>
      </c>
      <c r="J111" s="20">
        <v>414</v>
      </c>
      <c r="K111" s="20" t="str">
        <f>HYPERLINK("https://www.ncbi.nlm.nih.gov/protein/MDD6477906.1?report=genbank&amp;log$=prottop&amp;blast_rank=134&amp;RID=AS58GR0S013","MDD6477906.1")</f>
        <v>MDD6477906.1</v>
      </c>
      <c r="L111" s="23"/>
    </row>
    <row r="112" spans="1:12">
      <c r="A112" s="20" t="s">
        <v>579</v>
      </c>
      <c r="B112" s="20" t="str">
        <f>VLOOKUP(A112,'Table S6C'!A:C,2,FALSE)</f>
        <v>Actinomycetota</v>
      </c>
      <c r="C112" s="20" t="str">
        <f>VLOOKUP(A112,'Table S6C'!A:C,3,FALSE)</f>
        <v>Actinomycetaceae</v>
      </c>
      <c r="D112" s="20" t="str">
        <f>VLOOKUP(A112,'Table S6C'!A:E,4,FALSE)</f>
        <v>bacterial vaginosis</v>
      </c>
      <c r="E112" s="20" t="str">
        <f>VLOOKUP(A112,'Table S6C'!A:E,5,FALSE)</f>
        <v>infection</v>
      </c>
      <c r="F112" s="20">
        <v>503</v>
      </c>
      <c r="G112" s="21">
        <v>0.98</v>
      </c>
      <c r="H112" s="22">
        <v>3.0000000000000002E-174</v>
      </c>
      <c r="I112" s="20">
        <v>60.39</v>
      </c>
      <c r="J112" s="20">
        <v>415</v>
      </c>
      <c r="K112" s="20" t="str">
        <f>HYPERLINK("https://www.ncbi.nlm.nih.gov/protein/EFL43943.1?report=genbank&amp;log$=prottop&amp;blast_rank=307&amp;RID=AS58GR0S013","EFL43943.1")</f>
        <v>EFL43943.1</v>
      </c>
      <c r="L112" s="23"/>
    </row>
    <row r="113" spans="1:12">
      <c r="A113" s="20" t="s">
        <v>581</v>
      </c>
      <c r="B113" s="20" t="str">
        <f>VLOOKUP(A113,'Table S6C'!A:C,2,FALSE)</f>
        <v> Bacillota</v>
      </c>
      <c r="C113" s="20" t="str">
        <f>VLOOKUP(A113,'Table S6C'!A:C,3,FALSE)</f>
        <v>Oscillospiraceae</v>
      </c>
      <c r="D113" s="20" t="str">
        <f>VLOOKUP(A113,'Table S6C'!A:E,4,FALSE)</f>
        <v>human blood</v>
      </c>
      <c r="E113" s="20" t="str">
        <f>VLOOKUP(A113,'Table S6C'!A:E,5,FALSE)</f>
        <v>blood</v>
      </c>
      <c r="F113" s="20">
        <v>616</v>
      </c>
      <c r="G113" s="21">
        <v>0.98</v>
      </c>
      <c r="H113" s="20">
        <v>0</v>
      </c>
      <c r="I113" s="20">
        <v>71.88</v>
      </c>
      <c r="J113" s="20">
        <v>414</v>
      </c>
      <c r="K113" s="20" t="str">
        <f>HYPERLINK("https://www.ncbi.nlm.nih.gov/protein/WP_106012442.1?report=genbank&amp;log$=prottop&amp;blast_rank=122&amp;RID=AS58GR0S013","WP_106012442.1")</f>
        <v>WP_106012442.1</v>
      </c>
      <c r="L113" s="23"/>
    </row>
    <row r="114" spans="1:12">
      <c r="A114" s="20" t="s">
        <v>584</v>
      </c>
      <c r="B114" s="20" t="str">
        <f>VLOOKUP(A114,'Table S6C'!A:C,2,FALSE)</f>
        <v> Bacillota</v>
      </c>
      <c r="C114" s="20" t="str">
        <f>VLOOKUP(A114,'Table S6C'!A:C,3,FALSE)</f>
        <v>Oscillospiraceae</v>
      </c>
      <c r="D114" s="20" t="str">
        <f>VLOOKUP(A114,'Table S6C'!A:E,4,FALSE)</f>
        <v>human feces</v>
      </c>
      <c r="E114" s="20" t="str">
        <f>VLOOKUP(A114,'Table S6C'!A:E,5,FALSE)</f>
        <v>Gastrointestinal tract</v>
      </c>
      <c r="F114" s="20">
        <v>747</v>
      </c>
      <c r="G114" s="21">
        <v>0.99</v>
      </c>
      <c r="H114" s="20">
        <v>0</v>
      </c>
      <c r="I114" s="20">
        <v>87.14</v>
      </c>
      <c r="J114" s="20">
        <v>413</v>
      </c>
      <c r="K114" s="20" t="str">
        <f>HYPERLINK("https://www.ncbi.nlm.nih.gov/protein/WP_283129040.1?report=genbank&amp;log$=prottop&amp;blast_rank=18&amp;RID=AS58GR0S013","WP_283129040.1")</f>
        <v>WP_283129040.1</v>
      </c>
      <c r="L114" s="23"/>
    </row>
    <row r="115" spans="1:12">
      <c r="A115" s="20" t="s">
        <v>585</v>
      </c>
      <c r="B115" s="20" t="str">
        <f>VLOOKUP(A115,'Table S6C'!A:C,2,FALSE)</f>
        <v> Bacillota</v>
      </c>
      <c r="C115" s="20" t="str">
        <f>VLOOKUP(A115,'Table S6C'!A:C,3,FALSE)</f>
        <v>Oscillospiraceae</v>
      </c>
      <c r="D115" s="20" t="str">
        <f>VLOOKUP(A115,'Table S6C'!A:E,4,FALSE)</f>
        <v>chicken intestine</v>
      </c>
      <c r="E115" s="20" t="str">
        <f>VLOOKUP(A115,'Table S6C'!A:E,5,FALSE)</f>
        <v>Gastrointestinal tract</v>
      </c>
      <c r="F115" s="20">
        <v>744</v>
      </c>
      <c r="G115" s="21">
        <v>0.99</v>
      </c>
      <c r="H115" s="20">
        <v>0</v>
      </c>
      <c r="I115" s="20">
        <v>86.65</v>
      </c>
      <c r="J115" s="20">
        <v>413</v>
      </c>
      <c r="K115" s="20" t="str">
        <f>HYPERLINK("https://www.ncbi.nlm.nih.gov/protein/WP_270912988.1?report=genbank&amp;log$=prottop&amp;blast_rank=32&amp;RID=AS58GR0S013","WP_270912988.1")</f>
        <v>WP_270912988.1</v>
      </c>
      <c r="L115" s="23"/>
    </row>
    <row r="116" spans="1:12">
      <c r="A116" s="20" t="s">
        <v>587</v>
      </c>
      <c r="B116" s="20" t="str">
        <f>VLOOKUP(A116,'Table S6C'!A:C,2,FALSE)</f>
        <v> Synergistota</v>
      </c>
      <c r="C116" s="20" t="str">
        <f>VLOOKUP(A116,'Table S6C'!A:C,3,FALSE)</f>
        <v>Aminobacteriaceae</v>
      </c>
      <c r="D116" s="20" t="str">
        <f>VLOOKUP(A116,'Table S6C'!A:E,4,FALSE)</f>
        <v>unknown</v>
      </c>
      <c r="E116" s="20"/>
      <c r="F116" s="20">
        <v>744</v>
      </c>
      <c r="G116" s="21">
        <v>0.99</v>
      </c>
      <c r="H116" s="20">
        <v>0</v>
      </c>
      <c r="I116" s="20">
        <v>85.68</v>
      </c>
      <c r="J116" s="20">
        <v>417</v>
      </c>
      <c r="K116" s="20" t="str">
        <f>HYPERLINK("https://www.ncbi.nlm.nih.gov/protein/WP_124888913.1?report=genbank&amp;log$=prottop&amp;blast_rank=31&amp;RID=AS58GR0S013","WP_124888913.1")</f>
        <v>WP_124888913.1</v>
      </c>
      <c r="L116" s="23"/>
    </row>
    <row r="117" spans="1:12">
      <c r="A117" s="20" t="s">
        <v>590</v>
      </c>
      <c r="B117" s="20" t="str">
        <f>VLOOKUP(A117,'Table S6C'!A:C,2,FALSE)</f>
        <v> Bacillota</v>
      </c>
      <c r="C117" s="20" t="str">
        <f>VLOOKUP(A117,'Table S6C'!A:C,3,FALSE)</f>
        <v>Peptoniphilaceae</v>
      </c>
      <c r="D117" s="20" t="str">
        <f>VLOOKUP(A117,'Table S6C'!A:E,4,FALSE)</f>
        <v>unknown</v>
      </c>
      <c r="E117" s="20"/>
      <c r="F117" s="20">
        <v>646</v>
      </c>
      <c r="G117" s="21">
        <v>0.99</v>
      </c>
      <c r="H117" s="20">
        <v>0</v>
      </c>
      <c r="I117" s="20">
        <v>74.39</v>
      </c>
      <c r="J117" s="20">
        <v>419</v>
      </c>
      <c r="K117" s="20" t="str">
        <f>HYPERLINK("https://www.ncbi.nlm.nih.gov/protein/HHX68059.1?report=genbank&amp;log$=prottop&amp;blast_rank=78&amp;RID=AS58GR0S013","HHX68059.1")</f>
        <v>HHX68059.1</v>
      </c>
      <c r="L117" s="23"/>
    </row>
    <row r="118" spans="1:12">
      <c r="A118" s="20" t="s">
        <v>592</v>
      </c>
      <c r="B118" s="20" t="str">
        <f>VLOOKUP(A118,'Table S6C'!A:C,2,FALSE)</f>
        <v> Bacillota</v>
      </c>
      <c r="C118" s="20"/>
      <c r="D118" s="20" t="str">
        <f>VLOOKUP(A118,'Table S6C'!A:E,4,FALSE)</f>
        <v>chicken gut anaerobes</v>
      </c>
      <c r="E118" s="20" t="str">
        <f>VLOOKUP(A118,'Table S6C'!A:E,5,FALSE)</f>
        <v>Gastrointestinal tract</v>
      </c>
      <c r="F118" s="20">
        <v>744</v>
      </c>
      <c r="G118" s="21">
        <v>0.99</v>
      </c>
      <c r="H118" s="20">
        <v>0</v>
      </c>
      <c r="I118" s="20">
        <v>86.65</v>
      </c>
      <c r="J118" s="20">
        <v>413</v>
      </c>
      <c r="K118" s="20" t="str">
        <f>HYPERLINK("https://www.ncbi.nlm.nih.gov/protein/WP_087181666.1?report=genbank&amp;log$=prottop&amp;blast_rank=33&amp;RID=AS58GR0S013","WP_087181666.1")</f>
        <v>WP_087181666.1</v>
      </c>
      <c r="L118" s="23"/>
    </row>
    <row r="119" spans="1:12">
      <c r="A119" s="20" t="s">
        <v>593</v>
      </c>
      <c r="B119" s="20" t="str">
        <f>VLOOKUP(A119,'Table S6C'!A:C,2,FALSE)</f>
        <v>Actinomycetota</v>
      </c>
      <c r="C119" s="20" t="str">
        <f>VLOOKUP(A119,'Table S6C'!A:C,3,FALSE)</f>
        <v>Actinomycetaceae</v>
      </c>
      <c r="D119" s="20" t="str">
        <f>VLOOKUP(A119,'Table S6C'!A:E,4,FALSE)</f>
        <v>wound swab</v>
      </c>
      <c r="E119" s="20" t="str">
        <f>VLOOKUP(A119,'Table S6C'!A:E,5,FALSE)</f>
        <v>infection</v>
      </c>
      <c r="F119" s="20">
        <v>592</v>
      </c>
      <c r="G119" s="21">
        <v>0.98</v>
      </c>
      <c r="H119" s="20">
        <v>0</v>
      </c>
      <c r="I119" s="20">
        <v>70.59</v>
      </c>
      <c r="J119" s="20">
        <v>417</v>
      </c>
      <c r="K119" s="20" t="str">
        <f>HYPERLINK("https://www.ncbi.nlm.nih.gov/protein/WP_102216989.1?report=genbank&amp;log$=prottop&amp;blast_rank=181&amp;RID=AS58GR0S013","WP_102216989.1")</f>
        <v>WP_102216989.1</v>
      </c>
      <c r="L119" s="23"/>
    </row>
    <row r="120" spans="1:12">
      <c r="A120" s="20" t="s">
        <v>595</v>
      </c>
      <c r="B120" s="20" t="str">
        <f>VLOOKUP(A120,'Table S6C'!A:C,2,FALSE)</f>
        <v> Bacillota</v>
      </c>
      <c r="C120" s="20" t="str">
        <f>VLOOKUP(A120,'Table S6C'!A:C,3,FALSE)</f>
        <v>Clostridiaceae</v>
      </c>
      <c r="D120" s="20" t="str">
        <f>VLOOKUP(A120,'Table S6C'!A:E,4,FALSE)</f>
        <v>wastewater from a paper mill</v>
      </c>
      <c r="E120" s="20" t="str">
        <f>VLOOKUP(A120,'Table S6C'!A:E,5,FALSE)</f>
        <v>Engineered</v>
      </c>
      <c r="F120" s="20">
        <v>632</v>
      </c>
      <c r="G120" s="21">
        <v>1</v>
      </c>
      <c r="H120" s="20">
        <v>0</v>
      </c>
      <c r="I120" s="20">
        <v>72.88</v>
      </c>
      <c r="J120" s="20">
        <v>413</v>
      </c>
      <c r="K120" s="20" t="str">
        <f>HYPERLINK("https://www.ncbi.nlm.nih.gov/protein/WP_138207124.1?report=genbank&amp;log$=prottop&amp;blast_rank=85&amp;RID=AS58GR0S013","WP_138207124.1")</f>
        <v>WP_138207124.1</v>
      </c>
      <c r="L120" s="23"/>
    </row>
    <row r="121" spans="1:12">
      <c r="A121" s="20" t="s">
        <v>597</v>
      </c>
      <c r="B121" s="20" t="str">
        <f>VLOOKUP(A121,'Table S6C'!A:C,2,FALSE)</f>
        <v> Bacillota</v>
      </c>
      <c r="C121" s="20" t="str">
        <f>VLOOKUP(A121,'Table S6C'!A:C,3,FALSE)</f>
        <v>Clostridiaceae</v>
      </c>
      <c r="D121" s="20" t="str">
        <f>VLOOKUP(A121,'Table S6C'!A:E,4,FALSE)</f>
        <v>human feces</v>
      </c>
      <c r="E121" s="20" t="str">
        <f>VLOOKUP(A121,'Table S6C'!A:E,5,FALSE)</f>
        <v>Gastrointestinal tract</v>
      </c>
      <c r="F121" s="20">
        <v>629</v>
      </c>
      <c r="G121" s="21">
        <v>1</v>
      </c>
      <c r="H121" s="20">
        <v>0</v>
      </c>
      <c r="I121" s="20">
        <v>72.400000000000006</v>
      </c>
      <c r="J121" s="20">
        <v>413</v>
      </c>
      <c r="K121" s="20" t="str">
        <f>HYPERLINK("https://www.ncbi.nlm.nih.gov/protein/WP_102398823.1?report=genbank&amp;log$=prottop&amp;blast_rank=93&amp;RID=AS58GR0S013","WP_102398823.1")</f>
        <v>WP_102398823.1</v>
      </c>
      <c r="L121" s="23"/>
    </row>
    <row r="122" spans="1:12">
      <c r="A122" s="20" t="s">
        <v>708</v>
      </c>
      <c r="B122" s="20" t="str">
        <f>VLOOKUP(A122,'Table S6C'!A:C,2,FALSE)</f>
        <v> Bacillota</v>
      </c>
      <c r="C122" s="20" t="str">
        <f>VLOOKUP(A122,'Table S6C'!A:C,3,FALSE)</f>
        <v>Clostridiaceae</v>
      </c>
      <c r="D122" s="20" t="str">
        <f>VLOOKUP(A122,'Table S6C'!A:E,4,FALSE)</f>
        <v>gas gangrene</v>
      </c>
      <c r="E122" s="20" t="str">
        <f>VLOOKUP(A122,'Table S6C'!A:E,5,FALSE)</f>
        <v>infection</v>
      </c>
      <c r="F122" s="20">
        <v>432</v>
      </c>
      <c r="G122" s="21">
        <v>0.95</v>
      </c>
      <c r="H122" s="22">
        <v>2.0000000000000001E-146</v>
      </c>
      <c r="I122" s="20">
        <v>54.16</v>
      </c>
      <c r="J122" s="20">
        <v>396</v>
      </c>
      <c r="K122" s="20" t="str">
        <f>HYPERLINK("https://www.ncbi.nlm.nih.gov/protein/WP_243117920.1?report=genbank&amp;log$=prottop&amp;blast_rank=431&amp;RID=AS58GR0S013","WP_243117920.1")</f>
        <v>WP_243117920.1</v>
      </c>
      <c r="L122" s="23"/>
    </row>
    <row r="123" spans="1:12">
      <c r="A123" s="20" t="s">
        <v>598</v>
      </c>
      <c r="B123" s="20" t="str">
        <f>VLOOKUP(A123,'Table S6C'!A:C,2,FALSE)</f>
        <v> Bacillota</v>
      </c>
      <c r="C123" s="20" t="str">
        <f>VLOOKUP(A123,'Table S6C'!A:C,3,FALSE)</f>
        <v>Clostridiaceae</v>
      </c>
      <c r="D123" s="20" t="str">
        <f>VLOOKUP(A123,'Table S6C'!A:E,4,FALSE)</f>
        <v>human feces</v>
      </c>
      <c r="E123" s="20" t="str">
        <f>VLOOKUP(A123,'Table S6C'!A:E,5,FALSE)</f>
        <v>Gastrointestinal tract</v>
      </c>
      <c r="F123" s="20">
        <v>601</v>
      </c>
      <c r="G123" s="21">
        <v>1</v>
      </c>
      <c r="H123" s="20">
        <v>0</v>
      </c>
      <c r="I123" s="20">
        <v>68.77</v>
      </c>
      <c r="J123" s="20">
        <v>413</v>
      </c>
      <c r="K123" s="20" t="str">
        <f>HYPERLINK("https://www.ncbi.nlm.nih.gov/protein/WP_142415349.1?report=genbank&amp;log$=prottop&amp;blast_rank=153&amp;RID=AS58GR0S013","WP_142415349.1")</f>
        <v>WP_142415349.1</v>
      </c>
      <c r="L123" s="23"/>
    </row>
    <row r="124" spans="1:12">
      <c r="A124" s="20" t="s">
        <v>599</v>
      </c>
      <c r="B124" s="20" t="str">
        <f>VLOOKUP(A124,'Table S6C'!A:C,2,FALSE)</f>
        <v> Bacillota</v>
      </c>
      <c r="C124" s="20" t="str">
        <f>VLOOKUP(A124,'Table S6C'!A:C,3,FALSE)</f>
        <v>Eubacteriales Family XIII. Incertae Sedis</v>
      </c>
      <c r="D124" s="20" t="str">
        <f>VLOOKUP(A124,'Table S6C'!A:E,4,FALSE)</f>
        <v>human feces</v>
      </c>
      <c r="E124" s="20" t="str">
        <f>VLOOKUP(A124,'Table S6C'!A:E,5,FALSE)</f>
        <v>Gastrointestinal tract</v>
      </c>
      <c r="F124" s="20">
        <v>597</v>
      </c>
      <c r="G124" s="21">
        <v>0.99</v>
      </c>
      <c r="H124" s="20">
        <v>0</v>
      </c>
      <c r="I124" s="20">
        <v>68.290000000000006</v>
      </c>
      <c r="J124" s="20">
        <v>410</v>
      </c>
      <c r="K124" s="20" t="str">
        <f>HYPERLINK("https://www.ncbi.nlm.nih.gov/protein/WP_269477071.1?report=genbank&amp;log$=prottop&amp;blast_rank=170&amp;RID=AS58GR0S013","WP_269477071.1")</f>
        <v>WP_269477071.1</v>
      </c>
      <c r="L124" s="23"/>
    </row>
    <row r="125" spans="1:12">
      <c r="A125" s="20" t="s">
        <v>600</v>
      </c>
      <c r="B125" s="20" t="str">
        <f>VLOOKUP(A125,'Table S6C'!A:C,2,FALSE)</f>
        <v> Bacillota</v>
      </c>
      <c r="C125" s="20" t="str">
        <f>VLOOKUP(A125,'Table S6C'!A:C,3,FALSE)</f>
        <v>Clostridiaceae</v>
      </c>
      <c r="D125" s="20" t="str">
        <f>VLOOKUP(A125,'Table S6C'!A:E,4,FALSE)</f>
        <v xml:space="preserve">probiotic industry effluent </v>
      </c>
      <c r="E125" s="20" t="str">
        <f>VLOOKUP(A125,'Table S6C'!A:E,5,FALSE)</f>
        <v>Engineered</v>
      </c>
      <c r="F125" s="20">
        <v>712</v>
      </c>
      <c r="G125" s="21">
        <v>1</v>
      </c>
      <c r="H125" s="20">
        <v>0</v>
      </c>
      <c r="I125" s="20">
        <v>81.599999999999994</v>
      </c>
      <c r="J125" s="20">
        <v>418</v>
      </c>
      <c r="K125" s="20" t="str">
        <f>HYPERLINK("https://www.ncbi.nlm.nih.gov/protein/WP_270814812.1?report=genbank&amp;log$=prottop&amp;blast_rank=65&amp;RID=AS58GR0S013","WP_270814812.1")</f>
        <v>WP_270814812.1</v>
      </c>
      <c r="L125" s="23"/>
    </row>
    <row r="126" spans="1:12">
      <c r="A126" s="20" t="s">
        <v>602</v>
      </c>
      <c r="B126" s="20" t="str">
        <f>VLOOKUP(A126,'Table S6C'!A:C,2,FALSE)</f>
        <v> Bacillota</v>
      </c>
      <c r="C126" s="20" t="str">
        <f>VLOOKUP(A126,'Table S6C'!A:C,3,FALSE)</f>
        <v>Clostridiaceae</v>
      </c>
      <c r="D126" s="20" t="str">
        <f>VLOOKUP(A126,'Table S6C'!A:E,4,FALSE)</f>
        <v>human feces</v>
      </c>
      <c r="E126" s="20" t="str">
        <f>VLOOKUP(A126,'Table S6C'!A:E,5,FALSE)</f>
        <v>Gastrointestinal tract</v>
      </c>
      <c r="F126" s="20">
        <v>769</v>
      </c>
      <c r="G126" s="21">
        <v>0.99</v>
      </c>
      <c r="H126" s="20">
        <v>0</v>
      </c>
      <c r="I126" s="20">
        <v>90.78</v>
      </c>
      <c r="J126" s="20">
        <v>413</v>
      </c>
      <c r="K126" s="20" t="str">
        <f>HYPERLINK("https://www.ncbi.nlm.nih.gov/protein/MBS5062432.1?report=genbank&amp;log$=prottop&amp;blast_rank=13&amp;RID=AS58GR0S013","MBS5062432.1")</f>
        <v>MBS5062432.1</v>
      </c>
      <c r="L126" s="23"/>
    </row>
    <row r="127" spans="1:12">
      <c r="A127" s="20" t="s">
        <v>603</v>
      </c>
      <c r="B127" s="20" t="str">
        <f>VLOOKUP(A127,'Table S6C'!A:C,2,FALSE)</f>
        <v> Bacillota</v>
      </c>
      <c r="C127" s="20" t="str">
        <f>VLOOKUP(A127,'Table S6C'!A:C,3,FALSE)</f>
        <v>Clostridiaceae</v>
      </c>
      <c r="D127" s="20" t="str">
        <f>VLOOKUP(A127,'Table S6C'!A:E,4,FALSE)</f>
        <v>human feces</v>
      </c>
      <c r="E127" s="20" t="str">
        <f>VLOOKUP(A127,'Table S6C'!A:E,5,FALSE)</f>
        <v>Gastrointestinal tract</v>
      </c>
      <c r="F127" s="20">
        <v>619</v>
      </c>
      <c r="G127" s="21">
        <v>1</v>
      </c>
      <c r="H127" s="20">
        <v>0</v>
      </c>
      <c r="I127" s="20">
        <v>70.459999999999994</v>
      </c>
      <c r="J127" s="20">
        <v>413</v>
      </c>
      <c r="K127" s="20" t="str">
        <f>HYPERLINK("https://www.ncbi.nlm.nih.gov/protein/WP_053956081.1?report=genbank&amp;log$=prottop&amp;blast_rank=117&amp;RID=AS58GR0S013","WP_053956081.1")</f>
        <v>WP_053956081.1</v>
      </c>
      <c r="L127" s="23"/>
    </row>
    <row r="128" spans="1:12">
      <c r="A128" s="20" t="s">
        <v>604</v>
      </c>
      <c r="B128" s="20" t="str">
        <f>VLOOKUP(A128,'Table S6C'!A:C,2,FALSE)</f>
        <v> Bacillota</v>
      </c>
      <c r="C128" s="20" t="str">
        <f>VLOOKUP(A128,'Table S6C'!A:C,3,FALSE)</f>
        <v>Tepidimicrobiaceae</v>
      </c>
      <c r="D128" s="20" t="str">
        <f>VLOOKUP(A128,'Table S6C'!A:E,4,FALSE)</f>
        <v>soil from grassy marshland</v>
      </c>
      <c r="E128" s="20" t="str">
        <f>VLOOKUP(A128,'Table S6C'!A:E,5,FALSE)</f>
        <v>Environmental</v>
      </c>
      <c r="F128" s="20">
        <v>624</v>
      </c>
      <c r="G128" s="21">
        <v>1</v>
      </c>
      <c r="H128" s="20">
        <v>0</v>
      </c>
      <c r="I128" s="20">
        <v>70.94</v>
      </c>
      <c r="J128" s="20">
        <v>412</v>
      </c>
      <c r="K128" s="20" t="str">
        <f>HYPERLINK("https://www.ncbi.nlm.nih.gov/protein/WP_132028732.1?report=genbank&amp;log$=prottop&amp;blast_rank=105&amp;RID=AS58GR0S013","WP_132028732.1")</f>
        <v>WP_132028732.1</v>
      </c>
      <c r="L128" s="23"/>
    </row>
    <row r="129" spans="1:12">
      <c r="A129" s="20" t="s">
        <v>607</v>
      </c>
      <c r="B129" s="20" t="str">
        <f>VLOOKUP(A129,'Table S6C'!A:C,2,FALSE)</f>
        <v> Bacillota</v>
      </c>
      <c r="C129" s="20" t="str">
        <f>VLOOKUP(A129,'Table S6C'!A:C,3,FALSE)</f>
        <v>Lachnospiraceae</v>
      </c>
      <c r="D129" s="20" t="str">
        <f>VLOOKUP(A129,'Table S6C'!A:E,4,FALSE)</f>
        <v>Gastrointestinal tract (GIT) microbiomes in ruminant</v>
      </c>
      <c r="E129" s="20" t="str">
        <f>VLOOKUP(A129,'Table S6C'!A:E,5,FALSE)</f>
        <v>Gastrointestinal tract</v>
      </c>
      <c r="F129" s="20">
        <v>654</v>
      </c>
      <c r="G129" s="21">
        <v>0.99</v>
      </c>
      <c r="H129" s="20">
        <v>0</v>
      </c>
      <c r="I129" s="20">
        <v>75.91</v>
      </c>
      <c r="J129" s="20">
        <v>418</v>
      </c>
      <c r="K129" s="20" t="str">
        <f>HYPERLINK("https://www.ncbi.nlm.nih.gov/protein/MBR4315166.1?report=genbank&amp;log$=prottop&amp;blast_rank=76&amp;RID=AS58GR0S013","MBR4315166.1")</f>
        <v>MBR4315166.1</v>
      </c>
      <c r="L129" s="23"/>
    </row>
    <row r="130" spans="1:12">
      <c r="A130" s="20" t="s">
        <v>609</v>
      </c>
      <c r="B130" s="20" t="str">
        <f>VLOOKUP(A130,'Table S6C'!A:C,2,FALSE)</f>
        <v>Actinomycetota</v>
      </c>
      <c r="C130" s="20" t="str">
        <f>VLOOKUP(A130,'Table S6C'!A:C,3,FALSE)</f>
        <v xml:space="preserve">Atopobiaceae </v>
      </c>
      <c r="D130" s="20" t="str">
        <f>VLOOKUP(A130,'Table S6C'!A:E,4,FALSE)</f>
        <v>Human gingival crevices</v>
      </c>
      <c r="E130" s="20" t="str">
        <f>VLOOKUP(A130,'Table S6C'!A:E,5,FALSE)</f>
        <v>Gastrointestinal tract</v>
      </c>
      <c r="F130" s="20">
        <v>502</v>
      </c>
      <c r="G130" s="21">
        <v>1</v>
      </c>
      <c r="H130" s="22">
        <v>1E-173</v>
      </c>
      <c r="I130" s="20">
        <v>60.14</v>
      </c>
      <c r="J130" s="20">
        <v>415</v>
      </c>
      <c r="K130" s="20" t="str">
        <f>HYPERLINK("https://www.ncbi.nlm.nih.gov/protein/WP_012809355.1?report=genbank&amp;log$=prottop&amp;blast_rank=325&amp;RID=AS58GR0S013","WP_012809355.1")</f>
        <v>WP_012809355.1</v>
      </c>
      <c r="L130" s="23"/>
    </row>
    <row r="131" spans="1:12">
      <c r="A131" s="20" t="s">
        <v>611</v>
      </c>
      <c r="B131" s="20" t="str">
        <f>VLOOKUP(A131,'Table S6C'!A:C,2,FALSE)</f>
        <v>Actinomycetota</v>
      </c>
      <c r="C131" s="20" t="str">
        <f>VLOOKUP(A131,'Table S6C'!A:C,3,FALSE)</f>
        <v xml:space="preserve">Atopobiaceae </v>
      </c>
      <c r="D131" s="20" t="str">
        <f>VLOOKUP(A131,'Table S6C'!A:E,4,FALSE)</f>
        <v>Human gingival crevices</v>
      </c>
      <c r="E131" s="20" t="str">
        <f>VLOOKUP(A131,'Table S6C'!A:E,5,FALSE)</f>
        <v>Gastrointestinal tract</v>
      </c>
      <c r="F131" s="20">
        <v>503</v>
      </c>
      <c r="G131" s="21">
        <v>1</v>
      </c>
      <c r="H131" s="22">
        <v>4E-174</v>
      </c>
      <c r="I131" s="20">
        <v>60.14</v>
      </c>
      <c r="J131" s="20">
        <v>415</v>
      </c>
      <c r="K131" s="20" t="str">
        <f>HYPERLINK("https://www.ncbi.nlm.nih.gov/protein/MBF4807313.1?report=genbank&amp;log$=prottop&amp;blast_rank=312&amp;RID=AS58GR0S013","MBF4807313.1")</f>
        <v>MBF4807313.1</v>
      </c>
      <c r="L131" s="23"/>
    </row>
    <row r="132" spans="1:12">
      <c r="A132" s="20" t="s">
        <v>612</v>
      </c>
      <c r="B132" s="20" t="str">
        <f>VLOOKUP(A132,'Table S6C'!A:C,2,FALSE)</f>
        <v>Actinomycetota</v>
      </c>
      <c r="C132" s="20" t="str">
        <f>VLOOKUP(A132,'Table S6C'!A:C,3,FALSE)</f>
        <v xml:space="preserve">Atopobiaceae </v>
      </c>
      <c r="D132" s="20" t="str">
        <f>VLOOKUP(A132,'Table S6C'!A:E,4,FALSE)</f>
        <v>Nash patient</v>
      </c>
      <c r="E132" s="20" t="str">
        <f>VLOOKUP(A132,'Table S6C'!A:E,5,FALSE)</f>
        <v>patient</v>
      </c>
      <c r="F132" s="20">
        <v>499</v>
      </c>
      <c r="G132" s="21">
        <v>1</v>
      </c>
      <c r="H132" s="22">
        <v>1E-172</v>
      </c>
      <c r="I132" s="20">
        <v>59.66</v>
      </c>
      <c r="J132" s="20">
        <v>415</v>
      </c>
      <c r="K132" s="20" t="str">
        <f>HYPERLINK("https://www.ncbi.nlm.nih.gov/protein/WP_282710340.1?report=genbank&amp;log$=prottop&amp;blast_rank=341&amp;RID=AS58GR0S013","WP_282710340.1")</f>
        <v>WP_282710340.1</v>
      </c>
      <c r="L132" s="23"/>
    </row>
    <row r="133" spans="1:12">
      <c r="A133" s="20" t="s">
        <v>615</v>
      </c>
      <c r="B133" s="20" t="str">
        <f>VLOOKUP(A133,'Table S6C'!A:C,2,FALSE)</f>
        <v> Bacillota</v>
      </c>
      <c r="C133" s="20" t="str">
        <f>VLOOKUP(A133,'Table S6C'!A:C,3,FALSE)</f>
        <v>Eubacteriales Family XIII. Incertae Sedis</v>
      </c>
      <c r="D133" s="20" t="str">
        <f>VLOOKUP(A133,'Table S6C'!A:E,4,FALSE)</f>
        <v>human feces</v>
      </c>
      <c r="E133" s="20" t="str">
        <f>VLOOKUP(A133,'Table S6C'!A:E,5,FALSE)</f>
        <v>Gastrointestinal tract</v>
      </c>
      <c r="F133" s="20">
        <v>610</v>
      </c>
      <c r="G133" s="21">
        <v>1</v>
      </c>
      <c r="H133" s="20">
        <v>0</v>
      </c>
      <c r="I133" s="20">
        <v>70.22</v>
      </c>
      <c r="J133" s="20">
        <v>412</v>
      </c>
      <c r="K133" s="20" t="str">
        <f>HYPERLINK("https://www.ncbi.nlm.nih.gov/protein/WP_177270906.1?report=genbank&amp;log$=prottop&amp;blast_rank=129&amp;RID=AS58GR0S013","WP_177270906.1")</f>
        <v>WP_177270906.1</v>
      </c>
      <c r="L133" s="23"/>
    </row>
    <row r="134" spans="1:12">
      <c r="A134" s="20" t="s">
        <v>616</v>
      </c>
      <c r="B134" s="20" t="str">
        <f>VLOOKUP(A134,'Table S6C'!A:C,2,FALSE)</f>
        <v> Bacillota</v>
      </c>
      <c r="C134" s="20" t="str">
        <f>VLOOKUP(A134,'Table S6C'!A:C,3,FALSE)</f>
        <v>Peptoniphilaceae</v>
      </c>
      <c r="D134" s="20" t="str">
        <f>VLOOKUP(A134,'Table S6C'!A:E,4,FALSE)</f>
        <v>biogas system</v>
      </c>
      <c r="E134" s="20" t="str">
        <f>VLOOKUP(A134,'Table S6C'!A:E,5,FALSE)</f>
        <v>Environmental</v>
      </c>
      <c r="F134" s="20">
        <v>640</v>
      </c>
      <c r="G134" s="21">
        <v>0.99</v>
      </c>
      <c r="H134" s="20">
        <v>0</v>
      </c>
      <c r="I134" s="20">
        <v>73.17</v>
      </c>
      <c r="J134" s="20">
        <v>419</v>
      </c>
      <c r="K134" s="20" t="str">
        <f>HYPERLINK("https://www.ncbi.nlm.nih.gov/protein/WP_243661081.1?report=genbank&amp;log$=prottop&amp;blast_rank=80&amp;RID=AS58GR0S013","WP_243661081.1")</f>
        <v>WP_243661081.1</v>
      </c>
      <c r="L134" s="23"/>
    </row>
    <row r="135" spans="1:12">
      <c r="A135" s="20" t="s">
        <v>618</v>
      </c>
      <c r="B135" s="20" t="str">
        <f>VLOOKUP(A135,'Table S6C'!A:C,2,FALSE)</f>
        <v> Bacillota</v>
      </c>
      <c r="C135" s="20" t="str">
        <f>VLOOKUP(A135,'Table S6C'!A:C,3,FALSE)</f>
        <v>Eubacteriales Family XIII. Incertae Sedis</v>
      </c>
      <c r="D135" s="20" t="str">
        <f>VLOOKUP(A135,'Table S6C'!A:E,4,FALSE)</f>
        <v>biogas system</v>
      </c>
      <c r="E135" s="20" t="str">
        <f>VLOOKUP(A135,'Table S6C'!A:E,5,FALSE)</f>
        <v>Environmental</v>
      </c>
      <c r="F135" s="20">
        <v>493</v>
      </c>
      <c r="G135" s="21">
        <v>0.99</v>
      </c>
      <c r="H135" s="22">
        <v>5.0000000000000001E-170</v>
      </c>
      <c r="I135" s="20">
        <v>59.52</v>
      </c>
      <c r="J135" s="20">
        <v>424</v>
      </c>
      <c r="K135" s="20" t="str">
        <f>HYPERLINK("https://www.ncbi.nlm.nih.gov/protein/MBR3200273.1?report=genbank&amp;log$=prottop&amp;blast_rank=363&amp;RID=AS58GR0S013","MBR3200273.1")</f>
        <v>MBR3200273.1</v>
      </c>
      <c r="L135" s="23"/>
    </row>
    <row r="136" spans="1:12">
      <c r="A136" s="20" t="s">
        <v>619</v>
      </c>
      <c r="B136" s="20" t="str">
        <f>VLOOKUP(A136,'Table S6C'!A:C,2,FALSE)</f>
        <v> Bacillota</v>
      </c>
      <c r="C136" s="20" t="str">
        <f>VLOOKUP(A136,'Table S6C'!A:C,3,FALSE)</f>
        <v>Clostridiaceae</v>
      </c>
      <c r="D136" s="20" t="str">
        <f>VLOOKUP(A136,'Table S6C'!A:E,4,FALSE)</f>
        <v>soda lake</v>
      </c>
      <c r="E136" s="20" t="str">
        <f>VLOOKUP(A136,'Table S6C'!A:E,5,FALSE)</f>
        <v>Environmental</v>
      </c>
      <c r="F136" s="20">
        <v>611</v>
      </c>
      <c r="G136" s="21">
        <v>1</v>
      </c>
      <c r="H136" s="20">
        <v>0</v>
      </c>
      <c r="I136" s="20">
        <v>69.73</v>
      </c>
      <c r="J136" s="20">
        <v>416</v>
      </c>
      <c r="K136" s="20" t="str">
        <f>HYPERLINK("https://www.ncbi.nlm.nih.gov/protein/WP_090552769.1?report=genbank&amp;log$=prottop&amp;blast_rank=128&amp;RID=AS58GR0S013","WP_090552769.1")</f>
        <v>WP_090552769.1</v>
      </c>
      <c r="L136" s="23"/>
    </row>
    <row r="137" spans="1:12">
      <c r="A137" s="20" t="s">
        <v>621</v>
      </c>
      <c r="B137" s="20" t="str">
        <f>VLOOKUP(A137,'Table S6C'!A:C,2,FALSE)</f>
        <v> Bacillota</v>
      </c>
      <c r="C137" s="20" t="str">
        <f>VLOOKUP(A137,'Table S6C'!A:C,3,FALSE)</f>
        <v>Lachnospiraceae</v>
      </c>
      <c r="D137" s="20" t="str">
        <f>VLOOKUP(A137,'Table S6C'!A:E,4,FALSE)</f>
        <v>infant feces</v>
      </c>
      <c r="E137" s="20" t="str">
        <f>VLOOKUP(A137,'Table S6C'!A:E,5,FALSE)</f>
        <v>Gastrointestinal tract</v>
      </c>
      <c r="F137" s="20">
        <v>743</v>
      </c>
      <c r="G137" s="21">
        <v>1</v>
      </c>
      <c r="H137" s="20">
        <v>0</v>
      </c>
      <c r="I137" s="20">
        <v>85.71</v>
      </c>
      <c r="J137" s="20">
        <v>413</v>
      </c>
      <c r="K137" s="20" t="str">
        <f>HYPERLINK("https://www.ncbi.nlm.nih.gov/protein/WP_271012268.1?report=genbank&amp;log$=prottop&amp;blast_rank=35&amp;RID=AS58GR0S013","WP_271012268.1")</f>
        <v>WP_271012268.1</v>
      </c>
      <c r="L137" s="23"/>
    </row>
    <row r="138" spans="1:12">
      <c r="A138" s="20" t="s">
        <v>623</v>
      </c>
      <c r="B138" s="20" t="str">
        <f>VLOOKUP(A138,'Table S6C'!A:C,2,FALSE)</f>
        <v>Thermotogota</v>
      </c>
      <c r="C138" s="20" t="str">
        <f>VLOOKUP(A138,'Table S6C'!A:C,3,FALSE)</f>
        <v>Petrotogaceae</v>
      </c>
      <c r="D138" s="20" t="str">
        <f>VLOOKUP(A138,'Table S6C'!A:E,4,FALSE)</f>
        <v>Oceanotoga</v>
      </c>
      <c r="E138" s="20" t="str">
        <f>VLOOKUP(A138,'Table S6C'!A:E,5,FALSE)</f>
        <v>Environmental</v>
      </c>
      <c r="F138" s="20">
        <v>601</v>
      </c>
      <c r="G138" s="21">
        <v>0.99</v>
      </c>
      <c r="H138" s="20">
        <v>0</v>
      </c>
      <c r="I138" s="20">
        <v>68.69</v>
      </c>
      <c r="J138" s="20">
        <v>413</v>
      </c>
      <c r="K138" s="20" t="str">
        <f>HYPERLINK("https://www.ncbi.nlm.nih.gov/protein/WP_109604123.1?report=genbank&amp;log$=prottop&amp;blast_rank=155&amp;RID=AS58GR0S013","WP_109604123.1")</f>
        <v>WP_109604123.1</v>
      </c>
      <c r="L138" s="23"/>
    </row>
    <row r="139" spans="1:12">
      <c r="A139" s="20" t="s">
        <v>625</v>
      </c>
      <c r="B139" s="20" t="str">
        <f>VLOOKUP(A139,'Table S6C'!A:C,2,FALSE)</f>
        <v>Actinomycetota</v>
      </c>
      <c r="C139" s="20" t="str">
        <f>VLOOKUP(A139,'Table S6C'!A:C,3,FALSE)</f>
        <v xml:space="preserve">Atopobiaceae </v>
      </c>
      <c r="D139" s="20" t="str">
        <f>VLOOKUP(A139,'Table S6C'!A:E,4,FALSE)</f>
        <v>bioreactor sludge</v>
      </c>
      <c r="E139" s="20" t="str">
        <f>VLOOKUP(A139,'Table S6C'!A:E,5,FALSE)</f>
        <v>Engineered</v>
      </c>
      <c r="F139" s="20">
        <v>493</v>
      </c>
      <c r="G139" s="21">
        <v>0.98</v>
      </c>
      <c r="H139" s="22">
        <v>5.0000000000000001E-170</v>
      </c>
      <c r="I139" s="20">
        <v>58.68</v>
      </c>
      <c r="J139" s="20">
        <v>415</v>
      </c>
      <c r="K139" s="20" t="str">
        <f>HYPERLINK("https://www.ncbi.nlm.nih.gov/protein/MCH3948683.1?report=genbank&amp;log$=prottop&amp;blast_rank=365&amp;RID=AS58GR0S013","MCH3948683.1")</f>
        <v>MCH3948683.1</v>
      </c>
      <c r="L139" s="23"/>
    </row>
    <row r="140" spans="1:12">
      <c r="A140" s="20" t="s">
        <v>627</v>
      </c>
      <c r="B140" s="20" t="str">
        <f>VLOOKUP(A140,'Table S6C'!A:C,2,FALSE)</f>
        <v>Actinomycetota</v>
      </c>
      <c r="C140" s="20" t="str">
        <f>VLOOKUP(A140,'Table S6C'!A:C,3,FALSE)</f>
        <v xml:space="preserve">Atopobiaceae </v>
      </c>
      <c r="D140" s="20" t="str">
        <f>VLOOKUP(A140,'Table S6C'!A:E,4,FALSE)</f>
        <v>human feces</v>
      </c>
      <c r="E140" s="20" t="str">
        <f>VLOOKUP(A140,'Table S6C'!A:E,5,FALSE)</f>
        <v>Gastrointestinal tract</v>
      </c>
      <c r="F140" s="20">
        <v>493</v>
      </c>
      <c r="G140" s="21">
        <v>0.98</v>
      </c>
      <c r="H140" s="22">
        <v>5.0000000000000001E-170</v>
      </c>
      <c r="I140" s="20">
        <v>58.44</v>
      </c>
      <c r="J140" s="20">
        <v>415</v>
      </c>
      <c r="K140" s="20" t="str">
        <f>HYPERLINK("https://www.ncbi.nlm.nih.gov/protein/WP_118110323.1?report=genbank&amp;log$=prottop&amp;blast_rank=364&amp;RID=AS58GR0S013","WP_118110323.1")</f>
        <v>WP_118110323.1</v>
      </c>
      <c r="L140" s="23"/>
    </row>
    <row r="141" spans="1:12">
      <c r="A141" s="20" t="s">
        <v>628</v>
      </c>
      <c r="B141" s="20" t="str">
        <f>VLOOKUP(A141,'Table S6C'!A:C,2,FALSE)</f>
        <v>Actinomycetota</v>
      </c>
      <c r="C141" s="20" t="str">
        <f>VLOOKUP(A141,'Table S6C'!A:C,3,FALSE)</f>
        <v xml:space="preserve">Atopobiaceae </v>
      </c>
      <c r="D141" s="20" t="str">
        <f>VLOOKUP(A141,'Table S6C'!A:E,4,FALSE)</f>
        <v>sputum sample in the hospital of Timone</v>
      </c>
      <c r="E141" s="20" t="str">
        <f>VLOOKUP(A141,'Table S6C'!A:E,5,FALSE)</f>
        <v>sputum</v>
      </c>
      <c r="F141" s="20">
        <v>479</v>
      </c>
      <c r="G141" s="21">
        <v>0.98</v>
      </c>
      <c r="H141" s="22">
        <v>7.0000000000000003E-165</v>
      </c>
      <c r="I141" s="20">
        <v>57.21</v>
      </c>
      <c r="J141" s="20">
        <v>415</v>
      </c>
      <c r="K141" s="20" t="str">
        <f>HYPERLINK("https://www.ncbi.nlm.nih.gov/protein/WP_130811256.1?report=genbank&amp;log$=prottop&amp;blast_rank=415&amp;RID=AS58GR0S013","WP_130811256.1")</f>
        <v>WP_130811256.1</v>
      </c>
      <c r="L141" s="23"/>
    </row>
    <row r="142" spans="1:12">
      <c r="A142" s="20" t="s">
        <v>631</v>
      </c>
      <c r="B142" s="20" t="str">
        <f>VLOOKUP(A142,'Table S6C'!A:C,2,FALSE)</f>
        <v>Actinomycetota</v>
      </c>
      <c r="C142" s="20" t="str">
        <f>VLOOKUP(A142,'Table S6C'!A:C,3,FALSE)</f>
        <v xml:space="preserve">Atopobiaceae </v>
      </c>
      <c r="D142" s="20" t="str">
        <f>VLOOKUP(A142,'Table S6C'!A:E,4,FALSE)</f>
        <v>human Oral</v>
      </c>
      <c r="E142" s="20" t="str">
        <f>VLOOKUP(A142,'Table S6C'!A:E,5,FALSE)</f>
        <v>Gastrointestinal tract</v>
      </c>
      <c r="F142" s="20">
        <v>476</v>
      </c>
      <c r="G142" s="21">
        <v>0.99</v>
      </c>
      <c r="H142" s="22">
        <v>1.9999999999999998E-163</v>
      </c>
      <c r="I142" s="20">
        <v>56.31</v>
      </c>
      <c r="J142" s="20">
        <v>415</v>
      </c>
      <c r="K142" s="20" t="str">
        <f>HYPERLINK("https://www.ncbi.nlm.nih.gov/protein/WP_050341619.1?report=genbank&amp;log$=prottop&amp;blast_rank=422&amp;RID=AS58GR0S013","WP_050341619.1")</f>
        <v>WP_050341619.1</v>
      </c>
      <c r="L142" s="23"/>
    </row>
    <row r="143" spans="1:12">
      <c r="A143" s="20" t="s">
        <v>633</v>
      </c>
      <c r="B143" s="20" t="str">
        <f>VLOOKUP(A143,'Table S6C'!A:C,2,FALSE)</f>
        <v>Actinomycetota</v>
      </c>
      <c r="C143" s="20" t="str">
        <f>VLOOKUP(A143,'Table S6C'!A:C,3,FALSE)</f>
        <v xml:space="preserve">Atopobiaceae </v>
      </c>
      <c r="D143" s="20" t="str">
        <f>VLOOKUP(A143,'Table S6C'!A:E,4,FALSE)</f>
        <v>human feces</v>
      </c>
      <c r="E143" s="20" t="str">
        <f>VLOOKUP(A143,'Table S6C'!A:E,5,FALSE)</f>
        <v>Gastrointestinal tract</v>
      </c>
      <c r="F143" s="20">
        <v>522</v>
      </c>
      <c r="G143" s="21">
        <v>1</v>
      </c>
      <c r="H143" s="20">
        <v>0</v>
      </c>
      <c r="I143" s="20">
        <v>62.32</v>
      </c>
      <c r="J143" s="20">
        <v>415</v>
      </c>
      <c r="K143" s="20" t="str">
        <f>HYPERLINK("https://www.ncbi.nlm.nih.gov/protein/WP_204831801.1?report=genbank&amp;log$=prottop&amp;blast_rank=214&amp;RID=AS58GR0S013","WP_204831801.1")</f>
        <v>WP_204831801.1</v>
      </c>
      <c r="L143" s="23"/>
    </row>
    <row r="144" spans="1:12">
      <c r="A144" s="20" t="s">
        <v>634</v>
      </c>
      <c r="B144" s="20" t="str">
        <f>VLOOKUP(A144,'Table S6C'!A:C,2,FALSE)</f>
        <v>Actinomycetota</v>
      </c>
      <c r="C144" s="20" t="str">
        <f>VLOOKUP(A144,'Table S6C'!A:C,3,FALSE)</f>
        <v xml:space="preserve">Atopobiaceae </v>
      </c>
      <c r="D144" s="20" t="str">
        <f>VLOOKUP(A144,'Table S6C'!A:E,4,FALSE)</f>
        <v>human Vagina</v>
      </c>
      <c r="E144" s="20" t="str">
        <f>VLOOKUP(A144,'Table S6C'!A:E,5,FALSE)</f>
        <v>Vagina</v>
      </c>
      <c r="F144" s="20">
        <v>495</v>
      </c>
      <c r="G144" s="21">
        <v>1</v>
      </c>
      <c r="H144" s="22">
        <v>9.0000000000000008E-171</v>
      </c>
      <c r="I144" s="20">
        <v>59.42</v>
      </c>
      <c r="J144" s="20">
        <v>425</v>
      </c>
      <c r="K144" s="20" t="str">
        <f>HYPERLINK("https://www.ncbi.nlm.nih.gov/protein/WP_077598673.1?report=genbank&amp;log$=prottop&amp;blast_rank=359&amp;RID=AS58GR0S013","WP_077598673.1")</f>
        <v>WP_077598673.1</v>
      </c>
      <c r="L144" s="23"/>
    </row>
    <row r="145" spans="1:12">
      <c r="A145" s="20" t="s">
        <v>637</v>
      </c>
      <c r="B145" s="20" t="str">
        <f>VLOOKUP(A145,'Table S6C'!A:C,2,FALSE)</f>
        <v>Actinomycetota</v>
      </c>
      <c r="C145" s="20" t="str">
        <f>VLOOKUP(A145,'Table S6C'!A:C,3,FALSE)</f>
        <v xml:space="preserve">Atopobiaceae </v>
      </c>
      <c r="D145" s="20" t="str">
        <f>VLOOKUP(A145,'Table S6C'!A:E,4,FALSE)</f>
        <v>Ruminants rumen</v>
      </c>
      <c r="E145" s="20" t="str">
        <f>VLOOKUP(A145,'Table S6C'!A:E,5,FALSE)</f>
        <v>Gastrointestinal tract</v>
      </c>
      <c r="F145" s="20">
        <v>490</v>
      </c>
      <c r="G145" s="21">
        <v>0.98</v>
      </c>
      <c r="H145" s="22">
        <v>4.0000000000000001E-169</v>
      </c>
      <c r="I145" s="20">
        <v>58.92</v>
      </c>
      <c r="J145" s="20">
        <v>415</v>
      </c>
      <c r="K145" s="20" t="str">
        <f>HYPERLINK("https://www.ncbi.nlm.nih.gov/protein/WP_170102989.1?report=genbank&amp;log$=prottop&amp;blast_rank=373&amp;RID=AS58GR0S013","WP_170102989.1")</f>
        <v>WP_170102989.1</v>
      </c>
      <c r="L145" s="23"/>
    </row>
    <row r="146" spans="1:12">
      <c r="A146" s="20" t="s">
        <v>639</v>
      </c>
      <c r="B146" s="20" t="str">
        <f>VLOOKUP(A146,'Table S6C'!A:C,2,FALSE)</f>
        <v>Actinomycetota</v>
      </c>
      <c r="C146" s="20" t="str">
        <f>VLOOKUP(A146,'Table S6C'!A:C,3,FALSE)</f>
        <v xml:space="preserve">Atopobiaceae </v>
      </c>
      <c r="D146" s="20" t="str">
        <f>VLOOKUP(A146,'Table S6C'!A:E,4,FALSE)</f>
        <v>human feces</v>
      </c>
      <c r="E146" s="20" t="str">
        <f>VLOOKUP(A146,'Table S6C'!A:E,5,FALSE)</f>
        <v>Gastrointestinal tract</v>
      </c>
      <c r="F146" s="20">
        <v>493</v>
      </c>
      <c r="G146" s="21">
        <v>0.98</v>
      </c>
      <c r="H146" s="22">
        <v>3.0000000000000001E-170</v>
      </c>
      <c r="I146" s="20">
        <v>59.66</v>
      </c>
      <c r="J146" s="20">
        <v>415</v>
      </c>
      <c r="K146" s="20" t="str">
        <f>HYPERLINK("https://www.ncbi.nlm.nih.gov/protein/WP_126422816.1?report=genbank&amp;log$=prottop&amp;blast_rank=360&amp;RID=AS58GR0S013","WP_126422816.1")</f>
        <v>WP_126422816.1</v>
      </c>
      <c r="L146" s="23"/>
    </row>
    <row r="147" spans="1:12">
      <c r="A147" s="20" t="s">
        <v>640</v>
      </c>
      <c r="B147" s="20" t="str">
        <f>VLOOKUP(A147,'Table S6C'!A:C,2,FALSE)</f>
        <v>Actinomycetota</v>
      </c>
      <c r="C147" s="20" t="str">
        <f>VLOOKUP(A147,'Table S6C'!A:C,3,FALSE)</f>
        <v xml:space="preserve">Atopobiaceae </v>
      </c>
      <c r="D147" s="20" t="str">
        <f>VLOOKUP(A147,'Table S6C'!A:E,4,FALSE)</f>
        <v>human feces</v>
      </c>
      <c r="E147" s="20" t="str">
        <f>VLOOKUP(A147,'Table S6C'!A:E,5,FALSE)</f>
        <v>Gastrointestinal tract</v>
      </c>
      <c r="F147" s="20">
        <v>490</v>
      </c>
      <c r="G147" s="21">
        <v>0.98</v>
      </c>
      <c r="H147" s="22">
        <v>5.9999999999999998E-169</v>
      </c>
      <c r="I147" s="20">
        <v>59.17</v>
      </c>
      <c r="J147" s="20">
        <v>415</v>
      </c>
      <c r="K147" s="20" t="str">
        <f>HYPERLINK("https://www.ncbi.nlm.nih.gov/protein/WP_073293576.1?report=genbank&amp;log$=prottop&amp;blast_rank=377&amp;RID=AS58GR0S013","WP_073293576.1")</f>
        <v>WP_073293576.1</v>
      </c>
      <c r="L147" s="23"/>
    </row>
    <row r="148" spans="1:12">
      <c r="A148" s="20" t="s">
        <v>641</v>
      </c>
      <c r="B148" s="20" t="str">
        <f>VLOOKUP(A148,'Table S6C'!A:C,2,FALSE)</f>
        <v> Bacillota</v>
      </c>
      <c r="C148" s="20" t="str">
        <f>VLOOKUP(A148,'Table S6C'!A:C,3,FALSE)</f>
        <v>Peptoniphilaceae</v>
      </c>
      <c r="D148" s="20" t="str">
        <f>VLOOKUP(A148,'Table S6C'!A:E,4,FALSE)</f>
        <v>human oral</v>
      </c>
      <c r="E148" s="20" t="str">
        <f>VLOOKUP(A148,'Table S6C'!A:E,5,FALSE)</f>
        <v>Gastrointestinal tract</v>
      </c>
      <c r="F148" s="20">
        <v>661</v>
      </c>
      <c r="G148" s="21">
        <v>1</v>
      </c>
      <c r="H148" s="20">
        <v>0</v>
      </c>
      <c r="I148" s="20">
        <v>76.569999999999993</v>
      </c>
      <c r="J148" s="20">
        <v>416</v>
      </c>
      <c r="K148" s="20" t="str">
        <f>HYPERLINK("https://www.ncbi.nlm.nih.gov/protein/MBS4872602.1?report=genbank&amp;log$=prottop&amp;blast_rank=72&amp;RID=AS58GR0S013","MBS4872602.1")</f>
        <v>MBS4872602.1</v>
      </c>
      <c r="L148" s="23"/>
    </row>
    <row r="149" spans="1:12">
      <c r="A149" s="20" t="s">
        <v>642</v>
      </c>
      <c r="B149" s="20" t="str">
        <f>VLOOKUP(A149,'Table S6C'!A:C,2,FALSE)</f>
        <v> Bacillota</v>
      </c>
      <c r="C149" s="20" t="str">
        <f>VLOOKUP(A149,'Table S6C'!A:C,3,FALSE)</f>
        <v>Peptoniphilaceae</v>
      </c>
      <c r="D149" s="20" t="str">
        <f>VLOOKUP(A149,'Table S6C'!A:E,4,FALSE)</f>
        <v>human oral</v>
      </c>
      <c r="E149" s="20" t="str">
        <f>VLOOKUP(A149,'Table S6C'!A:E,5,FALSE)</f>
        <v>Gastrointestinal tract</v>
      </c>
      <c r="F149" s="20">
        <v>660</v>
      </c>
      <c r="G149" s="21">
        <v>1</v>
      </c>
      <c r="H149" s="20">
        <v>0</v>
      </c>
      <c r="I149" s="20">
        <v>76.33</v>
      </c>
      <c r="J149" s="20">
        <v>416</v>
      </c>
      <c r="K149" s="20" t="str">
        <f>HYPERLINK("https://www.ncbi.nlm.nih.gov/protein/EGS30651.1?report=genbank&amp;log$=prottop&amp;blast_rank=74&amp;RID=AS58GR0S013","EGS30651.1")</f>
        <v>EGS30651.1</v>
      </c>
      <c r="L149" s="23"/>
    </row>
    <row r="150" spans="1:12">
      <c r="A150" s="20" t="s">
        <v>643</v>
      </c>
      <c r="B150" s="20" t="str">
        <f>VLOOKUP(A150,'Table S6C'!A:C,2,FALSE)</f>
        <v> Bacillota</v>
      </c>
      <c r="C150" s="20" t="str">
        <f>VLOOKUP(A150,'Table S6C'!A:C,3,FALSE)</f>
        <v> Acidaminococcaceae</v>
      </c>
      <c r="D150" s="20" t="str">
        <f>VLOOKUP(A150,'Table S6C'!A:E,4,FALSE)</f>
        <v>human feces</v>
      </c>
      <c r="E150" s="20" t="str">
        <f>VLOOKUP(A150,'Table S6C'!A:E,5,FALSE)</f>
        <v>Gastrointestinal tract</v>
      </c>
      <c r="F150" s="20">
        <v>746</v>
      </c>
      <c r="G150" s="21">
        <v>1</v>
      </c>
      <c r="H150" s="20">
        <v>0</v>
      </c>
      <c r="I150" s="20">
        <v>85.23</v>
      </c>
      <c r="J150" s="20">
        <v>413</v>
      </c>
      <c r="K150" s="20" t="str">
        <f>HYPERLINK("https://www.ncbi.nlm.nih.gov/protein/WP_256316837.1?report=genbank&amp;log$=prottop&amp;blast_rank=21&amp;RID=AS58GR0S013","WP_256316837.1")</f>
        <v>WP_256316837.1</v>
      </c>
      <c r="L150" s="23"/>
    </row>
    <row r="151" spans="1:12">
      <c r="A151" s="20" t="s">
        <v>645</v>
      </c>
      <c r="B151" s="20" t="str">
        <f>VLOOKUP(A151,'Table S6C'!A:C,2,FALSE)</f>
        <v> Bacillota</v>
      </c>
      <c r="C151" s="20" t="str">
        <f>VLOOKUP(A151,'Table S6C'!A:C,3,FALSE)</f>
        <v> Acidaminococcaceae</v>
      </c>
      <c r="D151" s="20" t="str">
        <f>VLOOKUP(A151,'Table S6C'!A:E,4,FALSE)</f>
        <v>wastewater</v>
      </c>
      <c r="E151" s="20" t="str">
        <f>VLOOKUP(A151,'Table S6C'!A:E,5,FALSE)</f>
        <v>Environmental</v>
      </c>
      <c r="F151" s="20">
        <v>745</v>
      </c>
      <c r="G151" s="21">
        <v>1</v>
      </c>
      <c r="H151" s="20">
        <v>0</v>
      </c>
      <c r="I151" s="20">
        <v>85.23</v>
      </c>
      <c r="J151" s="20">
        <v>413</v>
      </c>
      <c r="K151" s="20" t="str">
        <f>HYPERLINK("https://www.ncbi.nlm.nih.gov/protein/WP_287057671.1?report=genbank&amp;log$=prottop&amp;blast_rank=24&amp;RID=AS58GR0S013","WP_287057671.1")</f>
        <v>WP_287057671.1</v>
      </c>
      <c r="L151" s="23"/>
    </row>
    <row r="152" spans="1:12">
      <c r="A152" s="20" t="s">
        <v>647</v>
      </c>
      <c r="B152" s="20" t="str">
        <f>VLOOKUP(A152,'Table S6C'!A:C,2,FALSE)</f>
        <v> Bacillota</v>
      </c>
      <c r="C152" s="20" t="str">
        <f>VLOOKUP(A152,'Table S6C'!A:C,3,FALSE)</f>
        <v>Oscillospiraceae</v>
      </c>
      <c r="D152" s="20" t="str">
        <f>VLOOKUP(A152,'Table S6C'!A:E,4,FALSE)</f>
        <v>human feces</v>
      </c>
      <c r="E152" s="20" t="str">
        <f>VLOOKUP(A152,'Table S6C'!A:E,5,FALSE)</f>
        <v>Gastrointestinal tract</v>
      </c>
      <c r="F152" s="20">
        <v>612</v>
      </c>
      <c r="G152" s="21">
        <v>0.99</v>
      </c>
      <c r="H152" s="20">
        <v>0</v>
      </c>
      <c r="I152" s="20">
        <v>71.599999999999994</v>
      </c>
      <c r="J152" s="20">
        <v>413</v>
      </c>
      <c r="K152" s="20" t="str">
        <f>HYPERLINK("https://www.ncbi.nlm.nih.gov/protein/WP_227706453.1?report=genbank&amp;log$=prottop&amp;blast_rank=125&amp;RID=AS58GR0S013","WP_227706453.1")</f>
        <v>WP_227706453.1</v>
      </c>
      <c r="L152" s="23"/>
    </row>
    <row r="153" spans="1:12">
      <c r="A153" s="20" t="s">
        <v>648</v>
      </c>
      <c r="B153" s="20" t="str">
        <f>VLOOKUP(A153,'Table S6C'!A:C,2,FALSE)</f>
        <v> Bacillota</v>
      </c>
      <c r="C153" s="20" t="str">
        <f>VLOOKUP(A153,'Table S6C'!A:C,3,FALSE)</f>
        <v>Tissierellia incertae sedis</v>
      </c>
      <c r="D153" s="20" t="str">
        <f>VLOOKUP(A153,'Table S6C'!A:E,4,FALSE)</f>
        <v>eutrophic lake in China</v>
      </c>
      <c r="E153" s="20" t="str">
        <f>VLOOKUP(A153,'Table S6C'!A:E,5,FALSE)</f>
        <v>Environmental</v>
      </c>
      <c r="F153" s="20">
        <v>732</v>
      </c>
      <c r="G153" s="21">
        <v>0.99</v>
      </c>
      <c r="H153" s="20">
        <v>0</v>
      </c>
      <c r="I153" s="20">
        <v>85.44</v>
      </c>
      <c r="J153" s="20">
        <v>415</v>
      </c>
      <c r="K153" s="20" t="str">
        <f>HYPERLINK("https://www.ncbi.nlm.nih.gov/protein/WP_207236492.1?report=genbank&amp;log$=prottop&amp;blast_rank=47&amp;RID=AS58GR0S013","WP_207236492.1")</f>
        <v>WP_207236492.1</v>
      </c>
      <c r="L153" s="23"/>
    </row>
    <row r="154" spans="1:12">
      <c r="A154" s="20" t="s">
        <v>651</v>
      </c>
      <c r="B154" s="20" t="str">
        <f>VLOOKUP(A154,'Table S6C'!A:C,2,FALSE)</f>
        <v> Bacillota</v>
      </c>
      <c r="C154" s="20" t="str">
        <f>VLOOKUP(A154,'Table S6C'!A:C,3,FALSE)</f>
        <v>Tissierellaceae</v>
      </c>
      <c r="D154" s="20" t="str">
        <f>VLOOKUP(A154,'Table S6C'!A:E,4,FALSE)</f>
        <v>petroleum reservoir in Azerbaijan</v>
      </c>
      <c r="E154" s="20" t="str">
        <f>VLOOKUP(A154,'Table S6C'!A:E,5,FALSE)</f>
        <v>Environmental</v>
      </c>
      <c r="F154" s="20">
        <v>592</v>
      </c>
      <c r="G154" s="21">
        <v>1</v>
      </c>
      <c r="H154" s="20">
        <v>0</v>
      </c>
      <c r="I154" s="20">
        <v>68.52</v>
      </c>
      <c r="J154" s="20">
        <v>412</v>
      </c>
      <c r="K154" s="20" t="str">
        <f>HYPERLINK("https://www.ncbi.nlm.nih.gov/protein/WP_135270274.1?report=genbank&amp;log$=prottop&amp;blast_rank=185&amp;RID=AS58GR0S013","WP_135270274.1")</f>
        <v>WP_135270274.1</v>
      </c>
      <c r="L154" s="23"/>
    </row>
    <row r="155" spans="1:12">
      <c r="A155" s="20" t="s">
        <v>654</v>
      </c>
      <c r="B155" s="20" t="str">
        <f>VLOOKUP(A155,'Table S6C'!A:C,2,FALSE)</f>
        <v> Bacillota</v>
      </c>
      <c r="C155" s="20" t="str">
        <f>VLOOKUP(A155,'Table S6C'!A:C,3,FALSE)</f>
        <v>Tissierellaceae</v>
      </c>
      <c r="D155" s="20" t="str">
        <f>VLOOKUP(A155,'Table S6C'!A:E,4,FALSE)</f>
        <v>sludge from an anaerobic wastewater treatment plant</v>
      </c>
      <c r="E155" s="20" t="str">
        <f>VLOOKUP(A155,'Table S6C'!A:E,5,FALSE)</f>
        <v>Engineered</v>
      </c>
      <c r="F155" s="20">
        <v>595</v>
      </c>
      <c r="G155" s="21">
        <v>1</v>
      </c>
      <c r="H155" s="20">
        <v>0</v>
      </c>
      <c r="I155" s="20">
        <v>69.489999999999995</v>
      </c>
      <c r="J155" s="20">
        <v>412</v>
      </c>
      <c r="K155" s="20" t="str">
        <f>HYPERLINK("https://www.ncbi.nlm.nih.gov/protein/TJX66414.1?report=genbank&amp;log$=prottop&amp;blast_rank=177&amp;RID=AS58GR0S013","TJX66414.1")</f>
        <v>TJX66414.1</v>
      </c>
      <c r="L155" s="23"/>
    </row>
    <row r="156" spans="1:12">
      <c r="A156" s="20" t="s">
        <v>656</v>
      </c>
      <c r="B156" s="20" t="str">
        <f>VLOOKUP(A156,'Table S6C'!A:C,2,FALSE)</f>
        <v> Bacillota</v>
      </c>
      <c r="C156" s="20" t="str">
        <f>VLOOKUP(A156,'Table S6C'!A:C,3,FALSE)</f>
        <v>Sporanaerobacteraceae</v>
      </c>
      <c r="D156" s="20" t="str">
        <f>VLOOKUP(A156,'Table S6C'!A:E,4,FALSE)</f>
        <v>upflow anaerobic sludge blanket reactor</v>
      </c>
      <c r="E156" s="20" t="str">
        <f>VLOOKUP(A156,'Table S6C'!A:E,5,FALSE)</f>
        <v>Engineered</v>
      </c>
      <c r="F156" s="20">
        <v>634</v>
      </c>
      <c r="G156" s="21">
        <v>1</v>
      </c>
      <c r="H156" s="20">
        <v>0</v>
      </c>
      <c r="I156" s="20">
        <v>73.849999999999994</v>
      </c>
      <c r="J156" s="20">
        <v>412</v>
      </c>
      <c r="K156" s="20" t="str">
        <f>HYPERLINK("https://www.ncbi.nlm.nih.gov/protein/WP_072744948.1?report=genbank&amp;log$=prottop&amp;blast_rank=83&amp;RID=AS58GR0S013","WP_072744948.1")</f>
        <v>WP_072744948.1</v>
      </c>
      <c r="L156" s="23"/>
    </row>
    <row r="157" spans="1:12">
      <c r="A157" s="20" t="s">
        <v>658</v>
      </c>
      <c r="B157" s="20" t="str">
        <f>VLOOKUP(A157,'Table S6C'!A:C,2,FALSE)</f>
        <v> Bacillota</v>
      </c>
      <c r="C157" s="20" t="str">
        <f>VLOOKUP(A157,'Table S6C'!A:C,3,FALSE)</f>
        <v>Oscillospiraceae</v>
      </c>
      <c r="D157" s="20" t="str">
        <f>VLOOKUP(A157,'Table S6C'!A:E,4,FALSE)</f>
        <v>human feces</v>
      </c>
      <c r="E157" s="20" t="str">
        <f>VLOOKUP(A157,'Table S6C'!A:E,5,FALSE)</f>
        <v>Gastrointestinal tract</v>
      </c>
      <c r="F157" s="20">
        <v>741</v>
      </c>
      <c r="G157" s="21">
        <v>0.99</v>
      </c>
      <c r="H157" s="20">
        <v>0</v>
      </c>
      <c r="I157" s="20">
        <v>86.17</v>
      </c>
      <c r="J157" s="20">
        <v>413</v>
      </c>
      <c r="K157" s="20" t="str">
        <f>HYPERLINK("https://www.ncbi.nlm.nih.gov/protein/HJG28554.1?report=genbank&amp;log$=prottop&amp;blast_rank=40&amp;RID=AS58GR0S013","HJG28554.1")</f>
        <v>HJG28554.1</v>
      </c>
      <c r="L157" s="23"/>
    </row>
    <row r="158" spans="1:12">
      <c r="A158" s="20" t="s">
        <v>659</v>
      </c>
      <c r="B158" s="20" t="str">
        <f>VLOOKUP(A158,'Table S6C'!A:C,2,FALSE)</f>
        <v> Bacillota</v>
      </c>
      <c r="C158" s="20" t="str">
        <f>VLOOKUP(A158,'Table S6C'!A:C,3,FALSE)</f>
        <v>Thermoanaerobacterales Family III. Incertae Sedis</v>
      </c>
      <c r="D158" s="20" t="str">
        <f>VLOOKUP(A158,'Table S6C'!A:E,4,FALSE)</f>
        <v>anaerobic filter treating wastewater in a fishmeal factory</v>
      </c>
      <c r="E158" s="20" t="str">
        <f>VLOOKUP(A158,'Table S6C'!A:E,5,FALSE)</f>
        <v>Engineered</v>
      </c>
      <c r="F158" s="20">
        <v>568</v>
      </c>
      <c r="G158" s="21">
        <v>0.99</v>
      </c>
      <c r="H158" s="20">
        <v>0</v>
      </c>
      <c r="I158" s="20">
        <v>65.849999999999994</v>
      </c>
      <c r="J158" s="20">
        <v>416</v>
      </c>
      <c r="K158" s="20" t="str">
        <f>HYPERLINK("https://www.ncbi.nlm.nih.gov/protein/WP_044666327.1?report=genbank&amp;log$=prottop&amp;blast_rank=203&amp;RID=AS58GR0S013","WP_044666327.1")</f>
        <v>WP_044666327.1</v>
      </c>
      <c r="L158" s="23"/>
    </row>
    <row r="159" spans="1:12">
      <c r="A159" s="20" t="s">
        <v>662</v>
      </c>
      <c r="B159" s="20" t="str">
        <f>VLOOKUP(A159,'Table S6C'!A:C,2,FALSE)</f>
        <v> Bacillota</v>
      </c>
      <c r="C159" s="20" t="str">
        <f>VLOOKUP(A159,'Table S6C'!A:C,3,FALSE)</f>
        <v>Syntrophomonadaceae</v>
      </c>
      <c r="D159" s="20" t="str">
        <f>VLOOKUP(A159,'Table S6C'!A:E,4,FALSE)</f>
        <v>anaerobic digester</v>
      </c>
      <c r="E159" s="20" t="str">
        <f>VLOOKUP(A159,'Table S6C'!A:E,5,FALSE)</f>
        <v>Engineered</v>
      </c>
      <c r="F159" s="20">
        <v>577</v>
      </c>
      <c r="G159" s="21">
        <v>0.99</v>
      </c>
      <c r="H159" s="20">
        <v>0</v>
      </c>
      <c r="I159" s="20">
        <v>66.59</v>
      </c>
      <c r="J159" s="20">
        <v>417</v>
      </c>
      <c r="K159" s="20" t="str">
        <f>HYPERLINK("https://www.ncbi.nlm.nih.gov/protein/HHW30042.1?report=genbank&amp;log$=prottop&amp;blast_rank=195&amp;RID=AS58GR0S013","HHW30042.1")</f>
        <v>HHW30042.1</v>
      </c>
      <c r="L159" s="23"/>
    </row>
    <row r="160" spans="1:12">
      <c r="A160" s="20" t="s">
        <v>665</v>
      </c>
      <c r="B160" s="20" t="str">
        <f>VLOOKUP(A160,'Table S6C'!A:C,2,FALSE)</f>
        <v> Bacillota</v>
      </c>
      <c r="C160" s="20" t="str">
        <f>VLOOKUP(A160,'Table S6C'!A:C,3,FALSE)</f>
        <v>Syntrophomonadaceae</v>
      </c>
      <c r="D160" s="20" t="str">
        <f>VLOOKUP(A160,'Table S6C'!A:E,4,FALSE)</f>
        <v>fermentation</v>
      </c>
      <c r="E160" s="20" t="str">
        <f>VLOOKUP(A160,'Table S6C'!A:E,5,FALSE)</f>
        <v>Engineered</v>
      </c>
      <c r="F160" s="20">
        <v>717</v>
      </c>
      <c r="G160" s="21">
        <v>0.99</v>
      </c>
      <c r="H160" s="20">
        <v>0</v>
      </c>
      <c r="I160" s="20">
        <v>83.01</v>
      </c>
      <c r="J160" s="20">
        <v>415</v>
      </c>
      <c r="K160" s="20" t="str">
        <f>HYPERLINK("https://www.ncbi.nlm.nih.gov/protein/HBQ86650.1?report=genbank&amp;log$=prottop&amp;blast_rank=59&amp;RID=AS58GR0S013","HBQ86650.1")</f>
        <v>HBQ86650.1</v>
      </c>
      <c r="L160" s="23"/>
    </row>
    <row r="161" spans="1:12">
      <c r="A161" s="20" t="s">
        <v>667</v>
      </c>
      <c r="B161" s="20" t="str">
        <f>VLOOKUP(A161,'Table S6C'!A:C,2,FALSE)</f>
        <v>Actinomycetota</v>
      </c>
      <c r="C161" s="20" t="str">
        <f>VLOOKUP(A161,'Table S6C'!A:C,3,FALSE)</f>
        <v xml:space="preserve">Atopobiaceae </v>
      </c>
      <c r="D161" s="20" t="str">
        <f>VLOOKUP(A161,'Table S6C'!A:E,4,FALSE)</f>
        <v>mud in a fermentation cellar used for the production of Chinese Luzhou-flavour Baijiu</v>
      </c>
      <c r="E161" s="20" t="str">
        <f>VLOOKUP(A161,'Table S6C'!A:E,5,FALSE)</f>
        <v>Engineered</v>
      </c>
      <c r="F161" s="20">
        <v>512</v>
      </c>
      <c r="G161" s="21">
        <v>1</v>
      </c>
      <c r="H161" s="22">
        <v>9.9999999999999995E-178</v>
      </c>
      <c r="I161" s="20">
        <v>62.56</v>
      </c>
      <c r="J161" s="20">
        <v>416</v>
      </c>
      <c r="K161" s="20" t="str">
        <f>HYPERLINK("https://www.ncbi.nlm.nih.gov/protein/WP_194371057.1?report=genbank&amp;log$=prottop&amp;blast_rank=233&amp;RID=AS58GR0S013","WP_194371057.1")</f>
        <v>WP_194371057.1</v>
      </c>
      <c r="L161" s="23"/>
    </row>
    <row r="162" spans="1:12">
      <c r="A162" s="20" t="s">
        <v>669</v>
      </c>
      <c r="B162" s="20" t="str">
        <f>VLOOKUP(A162,'Table S6C'!A:C,2,FALSE)</f>
        <v> Bacillota</v>
      </c>
      <c r="C162" s="20" t="str">
        <f>VLOOKUP(A162,'Table S6C'!A:C,3,FALSE)</f>
        <v>Tissierellaceae</v>
      </c>
      <c r="D162" s="20" t="str">
        <f>VLOOKUP(A162,'Table S6C'!A:E,4,FALSE)</f>
        <v>human stump wound</v>
      </c>
      <c r="E162" s="20" t="str">
        <f>VLOOKUP(A162,'Table S6C'!A:E,5,FALSE)</f>
        <v>infection</v>
      </c>
      <c r="F162" s="20">
        <v>602</v>
      </c>
      <c r="G162" s="21">
        <v>0.99</v>
      </c>
      <c r="H162" s="20">
        <v>0</v>
      </c>
      <c r="I162" s="20">
        <v>69.900000000000006</v>
      </c>
      <c r="J162" s="20">
        <v>413</v>
      </c>
      <c r="K162" s="20" t="str">
        <f>HYPERLINK("https://www.ncbi.nlm.nih.gov/protein/MBU5313712.1?report=genbank&amp;log$=prottop&amp;blast_rank=150&amp;RID=AS58GR0S013","MBU5313712.1")</f>
        <v>MBU5313712.1</v>
      </c>
      <c r="L162" s="23"/>
    </row>
    <row r="163" spans="1:12">
      <c r="A163" s="20" t="s">
        <v>671</v>
      </c>
      <c r="B163" s="20" t="str">
        <f>VLOOKUP(A163,'Table S6C'!A:C,2,FALSE)</f>
        <v> Bacillota</v>
      </c>
      <c r="C163" s="20" t="str">
        <f>VLOOKUP(A163,'Table S6C'!A:C,3,FALSE)</f>
        <v>Tissierellaceae</v>
      </c>
      <c r="D163" s="20" t="str">
        <f>VLOOKUP(A163,'Table S6C'!A:E,4,FALSE)</f>
        <v>human stump wound</v>
      </c>
      <c r="E163" s="20" t="str">
        <f>VLOOKUP(A163,'Table S6C'!A:E,5,FALSE)</f>
        <v>infection</v>
      </c>
      <c r="F163" s="20">
        <v>603</v>
      </c>
      <c r="G163" s="21">
        <v>1</v>
      </c>
      <c r="H163" s="20">
        <v>0</v>
      </c>
      <c r="I163" s="20">
        <v>69.25</v>
      </c>
      <c r="J163" s="20">
        <v>412</v>
      </c>
      <c r="K163" s="20" t="str">
        <f>HYPERLINK("https://www.ncbi.nlm.nih.gov/protein/MSU01132.1?report=genbank&amp;log$=prottop&amp;blast_rank=148&amp;RID=AS58GR0S013","MSU01132.1")</f>
        <v>MSU01132.1</v>
      </c>
      <c r="L163" s="23"/>
    </row>
    <row r="164" spans="1:12">
      <c r="A164" s="20" t="s">
        <v>672</v>
      </c>
      <c r="B164" s="20" t="str">
        <f>VLOOKUP(A164,'Table S6C'!A:C,2,FALSE)</f>
        <v> Bacillota</v>
      </c>
      <c r="C164" s="20" t="str">
        <f>VLOOKUP(A164,'Table S6C'!A:C,3,FALSE)</f>
        <v>Tissierellaceae</v>
      </c>
      <c r="D164" s="20" t="str">
        <f>VLOOKUP(A164,'Table S6C'!A:E,4,FALSE)</f>
        <v>leg wound</v>
      </c>
      <c r="E164" s="20" t="str">
        <f>VLOOKUP(A164,'Table S6C'!A:E,5,FALSE)</f>
        <v>infection</v>
      </c>
      <c r="F164" s="20">
        <v>598</v>
      </c>
      <c r="G164" s="21">
        <v>1</v>
      </c>
      <c r="H164" s="20">
        <v>0</v>
      </c>
      <c r="I164" s="20">
        <v>69.010000000000005</v>
      </c>
      <c r="J164" s="20">
        <v>412</v>
      </c>
      <c r="K164" s="20" t="str">
        <f>HYPERLINK("https://www.ncbi.nlm.nih.gov/protein/WP_072973079.1?report=genbank&amp;log$=prottop&amp;blast_rank=162&amp;RID=AS58GR0S013","WP_072973079.1")</f>
        <v>WP_072973079.1</v>
      </c>
      <c r="L164" s="23"/>
    </row>
    <row r="165" spans="1:12">
      <c r="A165" s="20" t="s">
        <v>674</v>
      </c>
      <c r="B165" s="20" t="str">
        <f>VLOOKUP(A165,'Table S6C'!A:C,2,FALSE)</f>
        <v> Bacillota</v>
      </c>
      <c r="C165" s="20" t="str">
        <f>VLOOKUP(A165,'Table S6C'!A:C,3,FALSE)</f>
        <v>Tissierellaceae</v>
      </c>
      <c r="D165" s="20" t="str">
        <f>VLOOKUP(A165,'Table S6C'!A:E,4,FALSE)</f>
        <v>monkey feces</v>
      </c>
      <c r="E165" s="20" t="str">
        <f>VLOOKUP(A165,'Table S6C'!A:E,5,FALSE)</f>
        <v>Gastrointestinal tract</v>
      </c>
      <c r="F165" s="20">
        <v>635</v>
      </c>
      <c r="G165" s="21">
        <v>1</v>
      </c>
      <c r="H165" s="20">
        <v>0</v>
      </c>
      <c r="I165" s="20">
        <v>73.61</v>
      </c>
      <c r="J165" s="20">
        <v>412</v>
      </c>
      <c r="K165" s="20" t="str">
        <f>HYPERLINK("https://www.ncbi.nlm.nih.gov/protein/WP_216520205.1?report=genbank&amp;log$=prottop&amp;blast_rank=82&amp;RID=AS58GR0S013","WP_216520205.1")</f>
        <v>WP_216520205.1</v>
      </c>
      <c r="L165" s="23"/>
    </row>
    <row r="166" spans="1:12">
      <c r="A166" s="20" t="s">
        <v>675</v>
      </c>
      <c r="B166" s="20" t="str">
        <f>VLOOKUP(A166,'Table S6C'!A:C,2,FALSE)</f>
        <v> Bacillota</v>
      </c>
      <c r="C166" s="20" t="str">
        <f>VLOOKUP(A166,'Table S6C'!A:C,3,FALSE)</f>
        <v>Tissierellaceae</v>
      </c>
      <c r="D166" s="20" t="str">
        <f>VLOOKUP(A166,'Table S6C'!A:E,4,FALSE)</f>
        <v>copper coins in circulation</v>
      </c>
      <c r="E166" s="20" t="str">
        <f>VLOOKUP(A166,'Table S6C'!A:E,5,FALSE)</f>
        <v>Environmental</v>
      </c>
      <c r="F166" s="20">
        <v>602</v>
      </c>
      <c r="G166" s="21">
        <v>0.99</v>
      </c>
      <c r="H166" s="20">
        <v>0</v>
      </c>
      <c r="I166" s="20">
        <v>69.900000000000006</v>
      </c>
      <c r="J166" s="20">
        <v>413</v>
      </c>
      <c r="K166" s="20" t="str">
        <f>HYPERLINK("https://www.ncbi.nlm.nih.gov/protein/WP_094903058.1?report=genbank&amp;log$=prottop&amp;blast_rank=151&amp;RID=AS58GR0S013","WP_094903058.1")</f>
        <v>WP_094903058.1</v>
      </c>
      <c r="L166" s="23"/>
    </row>
    <row r="167" spans="1:12">
      <c r="A167" s="20" t="s">
        <v>677</v>
      </c>
      <c r="B167" s="20" t="str">
        <f>VLOOKUP(A167,'Table S6C'!A:C,2,FALSE)</f>
        <v> Bacillota</v>
      </c>
      <c r="C167" s="20" t="str">
        <f>VLOOKUP(A167,'Table S6C'!A:C,3,FALSE)</f>
        <v>Tissierellaceae</v>
      </c>
      <c r="D167" s="20" t="str">
        <f>VLOOKUP(A167,'Table S6C'!A:E,4,FALSE)</f>
        <v>oil production facility</v>
      </c>
      <c r="E167" s="20" t="str">
        <f>VLOOKUP(A167,'Table S6C'!A:E,5,FALSE)</f>
        <v>Engineered</v>
      </c>
      <c r="F167" s="20">
        <v>597</v>
      </c>
      <c r="G167" s="21">
        <v>1</v>
      </c>
      <c r="H167" s="20">
        <v>0</v>
      </c>
      <c r="I167" s="20">
        <v>69.489999999999995</v>
      </c>
      <c r="J167" s="20">
        <v>412</v>
      </c>
      <c r="K167" s="20" t="str">
        <f>HYPERLINK("https://www.ncbi.nlm.nih.gov/protein/MBC7088124.1?report=genbank&amp;log$=prottop&amp;blast_rank=172&amp;RID=AS58GR0S013","MBC7088124.1")</f>
        <v>MBC7088124.1</v>
      </c>
      <c r="L167" s="23"/>
    </row>
    <row r="168" spans="1:12">
      <c r="A168" s="20" t="s">
        <v>679</v>
      </c>
      <c r="B168" s="20" t="str">
        <f>VLOOKUP(A168,'Table S6C'!A:C,2,FALSE)</f>
        <v> Bacillota</v>
      </c>
      <c r="C168" s="20" t="str">
        <f>VLOOKUP(A168,'Table S6C'!A:C,3,FALSE)</f>
        <v>Tissierellaceae</v>
      </c>
      <c r="D168" s="20" t="str">
        <f>VLOOKUP(A168,'Table S6C'!A:E,4,FALSE)</f>
        <v>anaerobic digester</v>
      </c>
      <c r="E168" s="20" t="str">
        <f>VLOOKUP(A168,'Table S6C'!A:E,5,FALSE)</f>
        <v>Engineered</v>
      </c>
      <c r="F168" s="20">
        <v>599</v>
      </c>
      <c r="G168" s="21">
        <v>0.99</v>
      </c>
      <c r="H168" s="20">
        <v>0</v>
      </c>
      <c r="I168" s="20">
        <v>69.17</v>
      </c>
      <c r="J168" s="20">
        <v>412</v>
      </c>
      <c r="K168" s="20" t="str">
        <f>HYPERLINK("https://www.ncbi.nlm.nih.gov/protein/NMA85767.1?report=genbank&amp;log$=prottop&amp;blast_rank=160&amp;RID=AS58GR0S013","NMA85767.1")</f>
        <v>NMA85767.1</v>
      </c>
      <c r="L168" s="23"/>
    </row>
    <row r="169" spans="1:12">
      <c r="A169" s="20" t="s">
        <v>680</v>
      </c>
      <c r="B169" s="20" t="str">
        <f>VLOOKUP(A169,'Table S6C'!A:C,2,FALSE)</f>
        <v> Bacillota</v>
      </c>
      <c r="C169" s="20" t="str">
        <f>VLOOKUP(A169,'Table S6C'!A:C,3,FALSE)</f>
        <v>Tissierellaceae</v>
      </c>
      <c r="D169" s="20" t="str">
        <f>VLOOKUP(A169,'Table S6C'!A:E,4,FALSE)</f>
        <v>human with bacterial vaginosis</v>
      </c>
      <c r="E169" s="20" t="str">
        <f>VLOOKUP(A169,'Table S6C'!A:E,5,FALSE)</f>
        <v>infection</v>
      </c>
      <c r="F169" s="20">
        <v>670</v>
      </c>
      <c r="G169" s="21">
        <v>1</v>
      </c>
      <c r="H169" s="20">
        <v>0</v>
      </c>
      <c r="I169" s="20">
        <v>77.290000000000006</v>
      </c>
      <c r="J169" s="20">
        <v>416</v>
      </c>
      <c r="K169" s="20" t="str">
        <f>HYPERLINK("https://www.ncbi.nlm.nih.gov/protein/KGF08563.1?report=genbank&amp;log$=prottop&amp;blast_rank=69&amp;RID=AS58GR0S013","KGF08563.1")</f>
        <v>KGF08563.1</v>
      </c>
      <c r="L169" s="23"/>
    </row>
    <row r="170" spans="1:12">
      <c r="A170" s="20" t="s">
        <v>682</v>
      </c>
      <c r="B170" s="20" t="str">
        <f>VLOOKUP(A170,'Table S6C'!A:C,2,FALSE)</f>
        <v> Bacillota</v>
      </c>
      <c r="C170" s="20" t="str">
        <f>VLOOKUP(A170,'Table S6C'!A:C,3,FALSE)</f>
        <v>Clostridiaceae</v>
      </c>
      <c r="D170" s="20" t="str">
        <f>VLOOKUP(A170,'Table S6C'!A:E,4,FALSE)</f>
        <v>human feces</v>
      </c>
      <c r="E170" s="20" t="str">
        <f>VLOOKUP(A170,'Table S6C'!A:E,5,FALSE)</f>
        <v>Gastrointestinal tract</v>
      </c>
      <c r="F170" s="20">
        <v>603</v>
      </c>
      <c r="G170" s="21">
        <v>1</v>
      </c>
      <c r="H170" s="20">
        <v>0</v>
      </c>
      <c r="I170" s="20">
        <v>69.25</v>
      </c>
      <c r="J170" s="20">
        <v>415</v>
      </c>
      <c r="K170" s="20" t="str">
        <f>HYPERLINK("https://www.ncbi.nlm.nih.gov/protein/WP_138309064.1?report=genbank&amp;log$=prottop&amp;blast_rank=145&amp;RID=AS58GR0S013","WP_138309064.1")</f>
        <v>WP_138309064.1</v>
      </c>
      <c r="L170" s="23"/>
    </row>
    <row r="171" spans="1:12">
      <c r="A171" s="20" t="s">
        <v>683</v>
      </c>
      <c r="B171" s="20" t="str">
        <f>VLOOKUP(A171,'Table S6C'!A:C,2,FALSE)</f>
        <v>Actinomycetota</v>
      </c>
      <c r="C171" s="20" t="str">
        <f>VLOOKUP(A171,'Table S6C'!A:C,3,FALSE)</f>
        <v>Coriobacteriaceae</v>
      </c>
      <c r="D171" s="20" t="str">
        <f>VLOOKUP(A171,'Table S6C'!A:E,4,FALSE)</f>
        <v>human feces</v>
      </c>
      <c r="E171" s="20" t="str">
        <f>VLOOKUP(A171,'Table S6C'!A:E,5,FALSE)</f>
        <v>Gastrointestinal tract</v>
      </c>
      <c r="F171" s="20">
        <v>513</v>
      </c>
      <c r="G171" s="21">
        <v>0.99</v>
      </c>
      <c r="H171" s="22">
        <v>6.9999999999999997E-178</v>
      </c>
      <c r="I171" s="20">
        <v>60.83</v>
      </c>
      <c r="J171" s="20">
        <v>425</v>
      </c>
      <c r="K171" s="20" t="str">
        <f>HYPERLINK("https://www.ncbi.nlm.nih.gov/protein/WP_147588765.1?report=genbank&amp;log$=prottop&amp;blast_rank=231&amp;RID=AS58GR0S013","WP_147588765.1")</f>
        <v>WP_147588765.1</v>
      </c>
      <c r="L171" s="23"/>
    </row>
    <row r="172" spans="1:12">
      <c r="A172" s="20" t="s">
        <v>684</v>
      </c>
      <c r="B172" s="20" t="str">
        <f>VLOOKUP(A172,'Table S6C'!A:C,2,FALSE)</f>
        <v> Bacillota</v>
      </c>
      <c r="C172" s="20" t="s">
        <v>685</v>
      </c>
      <c r="D172" s="20" t="str">
        <f>VLOOKUP(A172,'Table S6C'!A:E,4,FALSE)</f>
        <v>chicken gut anaerobes</v>
      </c>
      <c r="E172" s="20" t="str">
        <f>VLOOKUP(A172,'Table S6C'!A:E,5,FALSE)</f>
        <v>Gastrointestinal tract</v>
      </c>
      <c r="F172" s="20">
        <v>746</v>
      </c>
      <c r="G172" s="21">
        <v>0.99</v>
      </c>
      <c r="H172" s="20">
        <v>0</v>
      </c>
      <c r="I172" s="20">
        <v>86.89</v>
      </c>
      <c r="J172" s="20">
        <v>413</v>
      </c>
      <c r="K172" s="20" t="str">
        <f>HYPERLINK("https://www.ncbi.nlm.nih.gov/protein/WP_087183512.1?report=genbank&amp;log$=prottop&amp;blast_rank=22&amp;RID=AS58GR0S013","WP_087183512.1")</f>
        <v>WP_087183512.1</v>
      </c>
      <c r="L172" s="23"/>
    </row>
    <row r="173" spans="1:12">
      <c r="A173" s="20" t="s">
        <v>686</v>
      </c>
      <c r="B173" s="20" t="str">
        <f>VLOOKUP(A173,'Table S6C'!A:C,2,FALSE)</f>
        <v>Actinomycetota</v>
      </c>
      <c r="C173" s="20" t="str">
        <f>VLOOKUP(A173,'Table S6C'!A:C,3,FALSE)</f>
        <v xml:space="preserve">Atopobiaceae </v>
      </c>
      <c r="D173" s="20" t="str">
        <f>VLOOKUP(A173,'Table S6C'!A:E,4,FALSE)</f>
        <v>bioreactor sludge</v>
      </c>
      <c r="E173" s="20" t="str">
        <f>VLOOKUP(A173,'Table S6C'!A:E,5,FALSE)</f>
        <v>Engineered</v>
      </c>
      <c r="F173" s="20">
        <v>506</v>
      </c>
      <c r="G173" s="21">
        <v>0.98</v>
      </c>
      <c r="H173" s="22">
        <v>4E-175</v>
      </c>
      <c r="I173" s="20">
        <v>60.49</v>
      </c>
      <c r="J173" s="20">
        <v>429</v>
      </c>
      <c r="K173" s="20" t="str">
        <f>HYPERLINK("https://www.ncbi.nlm.nih.gov/protein/WP_283713798.1?report=genbank&amp;log$=prottop&amp;blast_rank=264&amp;RID=AS58GR0S013","WP_283713798.1")</f>
        <v>WP_283713798.1</v>
      </c>
      <c r="L173" s="23"/>
    </row>
    <row r="174" spans="1:12">
      <c r="A174" s="20" t="s">
        <v>687</v>
      </c>
      <c r="B174" s="20" t="str">
        <f>VLOOKUP(A174,'Table S6C'!A:C,2,FALSE)</f>
        <v>Actinomycetota</v>
      </c>
      <c r="C174" s="20" t="str">
        <f>VLOOKUP(A174,'Table S6C'!A:C,3,FALSE)</f>
        <v>Actinomycetaceae</v>
      </c>
      <c r="D174" s="20" t="str">
        <f>VLOOKUP(A174,'Table S6C'!A:E,4,FALSE)</f>
        <v>unknown</v>
      </c>
      <c r="E174" s="20"/>
      <c r="F174" s="20">
        <v>565</v>
      </c>
      <c r="G174" s="21">
        <v>1</v>
      </c>
      <c r="H174" s="20">
        <v>0</v>
      </c>
      <c r="I174" s="20">
        <v>66.59</v>
      </c>
      <c r="J174" s="20">
        <v>412</v>
      </c>
      <c r="K174" s="20" t="str">
        <f>HYPERLINK("https://www.ncbi.nlm.nih.gov/protein/WP_048706812.1?report=genbank&amp;log$=prottop&amp;blast_rank=205&amp;RID=AS58GR0S013","WP_048706812.1")</f>
        <v>WP_048706812.1</v>
      </c>
      <c r="L174" s="23"/>
    </row>
    <row r="175" spans="1:12">
      <c r="A175" s="20" t="s">
        <v>688</v>
      </c>
      <c r="B175" s="20" t="str">
        <f>VLOOKUP(A175,'Table S6C'!A:C,2,FALSE)</f>
        <v> Bacillota</v>
      </c>
      <c r="C175" s="20" t="str">
        <f>VLOOKUP(A175,'Table S6C'!A:C,3,FALSE)</f>
        <v>Lachnospiraceae</v>
      </c>
      <c r="D175" s="20" t="str">
        <f>VLOOKUP(A175,'Table S6C'!A:E,4,FALSE)</f>
        <v>human feces</v>
      </c>
      <c r="E175" s="20" t="str">
        <f>VLOOKUP(A175,'Table S6C'!A:E,5,FALSE)</f>
        <v>Gastrointestinal tract</v>
      </c>
      <c r="F175" s="20">
        <v>633</v>
      </c>
      <c r="G175" s="21">
        <v>0.99</v>
      </c>
      <c r="H175" s="20">
        <v>0</v>
      </c>
      <c r="I175" s="20">
        <v>73.06</v>
      </c>
      <c r="J175" s="20">
        <v>416</v>
      </c>
      <c r="K175" s="20" t="str">
        <f>HYPERLINK("https://www.ncbi.nlm.nih.gov/protein/WP_288890360.1?report=genbank&amp;log$=prottop&amp;blast_rank=84&amp;RID=AS58GR0S013","WP_288890360.1")</f>
        <v>WP_288890360.1</v>
      </c>
      <c r="L175" s="23"/>
    </row>
    <row r="176" spans="1:12">
      <c r="A176" s="20" t="s">
        <v>689</v>
      </c>
      <c r="B176" s="20" t="str">
        <f>VLOOKUP(A176,'Table S6C'!A:C,2,FALSE)</f>
        <v> Bacillota</v>
      </c>
      <c r="C176" s="20" t="str">
        <f>VLOOKUP(A176,'Table S6C'!A:C,3,FALSE)</f>
        <v>Clostridiaceae</v>
      </c>
      <c r="D176" s="20" t="str">
        <f>VLOOKUP(A176,'Table S6C'!A:E,4,FALSE)</f>
        <v>human feces</v>
      </c>
      <c r="E176" s="20" t="str">
        <f>VLOOKUP(A176,'Table S6C'!A:E,5,FALSE)</f>
        <v>Gastrointestinal tract</v>
      </c>
      <c r="F176" s="20">
        <v>832</v>
      </c>
      <c r="G176" s="21">
        <v>1</v>
      </c>
      <c r="H176" s="20">
        <v>0</v>
      </c>
      <c r="I176" s="20">
        <v>96.85</v>
      </c>
      <c r="J176" s="20">
        <v>413</v>
      </c>
      <c r="K176" s="20" t="str">
        <f>HYPERLINK("https://www.ncbi.nlm.nih.gov/protein/WP_288215497.1?report=genbank&amp;log$=prottop&amp;blast_rank=11&amp;RID=AS58GR0S013","WP_288215497.1")</f>
        <v>WP_288215497.1</v>
      </c>
      <c r="L176" s="23"/>
    </row>
    <row r="177" spans="1:12">
      <c r="A177" s="20" t="s">
        <v>690</v>
      </c>
      <c r="B177" s="20" t="str">
        <f>VLOOKUP(A177,'Table S6C'!A:C,2,FALSE)</f>
        <v>Actinomycetota</v>
      </c>
      <c r="C177" s="20" t="str">
        <f>VLOOKUP(A177,'Table S6C'!A:C,3,FALSE)</f>
        <v xml:space="preserve">Atopobiaceae </v>
      </c>
      <c r="D177" s="20" t="str">
        <f>VLOOKUP(A177,'Table S6C'!A:E,4,FALSE)</f>
        <v>human feces</v>
      </c>
      <c r="E177" s="20" t="str">
        <f>VLOOKUP(A177,'Table S6C'!A:E,5,FALSE)</f>
        <v>Gastrointestinal tract</v>
      </c>
      <c r="F177" s="20">
        <v>492</v>
      </c>
      <c r="G177" s="21">
        <v>0.98</v>
      </c>
      <c r="H177" s="22">
        <v>1E-169</v>
      </c>
      <c r="I177" s="20">
        <v>59.41</v>
      </c>
      <c r="J177" s="20">
        <v>415</v>
      </c>
      <c r="K177" s="20" t="str">
        <f>HYPERLINK("https://www.ncbi.nlm.nih.gov/protein/WP_288712825.1?report=genbank&amp;log$=prottop&amp;blast_rank=367&amp;RID=AS58GR0S013","WP_288712825.1")</f>
        <v>WP_288712825.1</v>
      </c>
      <c r="L177" s="23"/>
    </row>
    <row r="178" spans="1:12">
      <c r="A178" s="20" t="s">
        <v>691</v>
      </c>
      <c r="B178" s="20" t="str">
        <f>VLOOKUP(A178,'Table S6C'!A:C,2,FALSE)</f>
        <v> Bacillota</v>
      </c>
      <c r="C178" s="20" t="str">
        <f>VLOOKUP(A178,'Table S6C'!A:C,3,FALSE)</f>
        <v> Acidaminococcaceae</v>
      </c>
      <c r="D178" s="20" t="str">
        <f>VLOOKUP(A178,'Table S6C'!A:E,4,FALSE)</f>
        <v>human feces</v>
      </c>
      <c r="E178" s="20" t="str">
        <f>VLOOKUP(A178,'Table S6C'!A:E,5,FALSE)</f>
        <v>Gastrointestinal tract</v>
      </c>
      <c r="F178" s="20">
        <v>745</v>
      </c>
      <c r="G178" s="21">
        <v>1</v>
      </c>
      <c r="H178" s="20">
        <v>0</v>
      </c>
      <c r="I178" s="20">
        <v>84.99</v>
      </c>
      <c r="J178" s="20">
        <v>413</v>
      </c>
      <c r="K178" s="20" t="str">
        <f>HYPERLINK("https://www.ncbi.nlm.nih.gov/protein/WP_288548416.1?report=genbank&amp;log$=prottop&amp;blast_rank=28&amp;RID=AS58GR0S013","WP_288548416.1")</f>
        <v>WP_288548416.1</v>
      </c>
      <c r="L178" s="23"/>
    </row>
    <row r="179" spans="1:12">
      <c r="A179" s="20" t="s">
        <v>692</v>
      </c>
      <c r="B179" s="20" t="str">
        <f>VLOOKUP(A179,'Table S6C'!A:C,2,FALSE)</f>
        <v> Bacillota</v>
      </c>
      <c r="C179" s="20" t="str">
        <f>VLOOKUP(A179,'Table S6C'!A:C,3,FALSE)</f>
        <v>Peptoniphilaceae</v>
      </c>
      <c r="D179" s="20" t="str">
        <f>VLOOKUP(A179,'Table S6C'!A:E,4,FALSE)</f>
        <v>urine specimen</v>
      </c>
      <c r="E179" s="20" t="str">
        <f>VLOOKUP(A179,'Table S6C'!A:E,5,FALSE)</f>
        <v>urine</v>
      </c>
      <c r="F179" s="20">
        <v>668</v>
      </c>
      <c r="G179" s="21">
        <v>1</v>
      </c>
      <c r="H179" s="20">
        <v>0</v>
      </c>
      <c r="I179" s="20">
        <v>77.05</v>
      </c>
      <c r="J179" s="20">
        <v>416</v>
      </c>
      <c r="K179" s="20" t="str">
        <f>HYPERLINK("https://www.ncbi.nlm.nih.gov/protein/WP_072469397.1?report=genbank&amp;log$=prottop&amp;blast_rank=70&amp;RID=AS58GR0S013","WP_072469397.1")</f>
        <v>WP_072469397.1</v>
      </c>
      <c r="L179" s="23"/>
    </row>
    <row r="180" spans="1:12">
      <c r="A180" s="20" t="s">
        <v>695</v>
      </c>
      <c r="B180" s="20" t="str">
        <f>VLOOKUP(A180,'Table S6C'!A:C,2,FALSE)</f>
        <v> Bacillota</v>
      </c>
      <c r="C180" s="20" t="str">
        <f>VLOOKUP(A180,'Table S6C'!A:C,3,FALSE)</f>
        <v>Peptoniphilaceae</v>
      </c>
      <c r="D180" s="20" t="str">
        <f>VLOOKUP(A180,'Table S6C'!A:E,4,FALSE)</f>
        <v>human feces</v>
      </c>
      <c r="E180" s="20" t="str">
        <f>VLOOKUP(A180,'Table S6C'!A:E,5,FALSE)</f>
        <v>Gastrointestinal tract</v>
      </c>
      <c r="F180" s="20">
        <v>661</v>
      </c>
      <c r="G180" s="21">
        <v>1</v>
      </c>
      <c r="H180" s="20">
        <v>0</v>
      </c>
      <c r="I180" s="20">
        <v>76.33</v>
      </c>
      <c r="J180" s="20">
        <v>416</v>
      </c>
      <c r="K180" s="20" t="str">
        <f>HYPERLINK("https://www.ncbi.nlm.nih.gov/protein/WP_099208952.1?report=genbank&amp;log$=prottop&amp;blast_rank=73&amp;RID=AS58GR0S013","WP_099208952.1")</f>
        <v>WP_099208952.1</v>
      </c>
      <c r="L180" s="23"/>
    </row>
    <row r="181" spans="1:12">
      <c r="A181" s="20" t="s">
        <v>696</v>
      </c>
      <c r="B181" s="20" t="str">
        <f>VLOOKUP(A181,'Table S6C'!A:C,2,FALSE)</f>
        <v> Bacillota</v>
      </c>
      <c r="C181" s="20" t="str">
        <f>VLOOKUP(A181,'Table S6C'!A:C,3,FALSE)</f>
        <v>Enterococcaceae</v>
      </c>
      <c r="D181" s="20" t="str">
        <f>VLOOKUP(A181,'Table S6C'!A:E,4,FALSE)</f>
        <v>soil beneath a decomposing pig carcass</v>
      </c>
      <c r="E181" s="20" t="str">
        <f>VLOOKUP(A181,'Table S6C'!A:E,5,FALSE)</f>
        <v>infection</v>
      </c>
      <c r="F181" s="20">
        <v>714</v>
      </c>
      <c r="G181" s="21">
        <v>0.99</v>
      </c>
      <c r="H181" s="20">
        <v>0</v>
      </c>
      <c r="I181" s="20">
        <v>82.97</v>
      </c>
      <c r="J181" s="20">
        <v>412</v>
      </c>
      <c r="K181" s="20" t="str">
        <f>HYPERLINK("https://www.ncbi.nlm.nih.gov/protein/WP_125943698.1?report=genbank&amp;log$=prottop&amp;blast_rank=62&amp;RID=AS58GR0S013","WP_125943698.1")</f>
        <v>WP_125943698.1</v>
      </c>
      <c r="L181" s="23"/>
    </row>
    <row r="182" spans="1:12">
      <c r="A182" s="20" t="s">
        <v>698</v>
      </c>
      <c r="B182" s="20" t="str">
        <f>VLOOKUP(A182,'Table S6C'!A:C,2,FALSE)</f>
        <v> Bacillota</v>
      </c>
      <c r="C182" s="20" t="str">
        <f>VLOOKUP(A182,'Table S6C'!A:C,3,FALSE)</f>
        <v>Lachnospiraceae</v>
      </c>
      <c r="D182" s="20" t="str">
        <f>VLOOKUP(A182,'Table S6C'!A:E,4,FALSE)</f>
        <v>human feces</v>
      </c>
      <c r="E182" s="20" t="str">
        <f>VLOOKUP(A182,'Table S6C'!A:E,5,FALSE)</f>
        <v>Gastrointestinal tract</v>
      </c>
      <c r="F182" s="20">
        <v>590</v>
      </c>
      <c r="G182" s="21">
        <v>1</v>
      </c>
      <c r="H182" s="20">
        <v>0</v>
      </c>
      <c r="I182" s="20">
        <v>70.459999999999994</v>
      </c>
      <c r="J182" s="20">
        <v>413</v>
      </c>
      <c r="K182" s="20" t="str">
        <f>HYPERLINK("https://www.ncbi.nlm.nih.gov/protein/MBC8589847.1?report=genbank&amp;log$=prottop&amp;blast_rank=188&amp;RID=AS58GR0S013","MBC8589847.1")</f>
        <v>MBC8589847.1</v>
      </c>
      <c r="L182" s="23"/>
    </row>
    <row r="183" spans="1:12">
      <c r="A183" s="20" t="s">
        <v>699</v>
      </c>
      <c r="B183" s="20" t="str">
        <f>VLOOKUP(A183,'Table S6C'!A:C,2,FALSE)</f>
        <v>Actinomycetota</v>
      </c>
      <c r="C183" s="20" t="str">
        <f>VLOOKUP(A183,'Table S6C'!A:C,3,FALSE)</f>
        <v>Actinomycetaceae</v>
      </c>
      <c r="D183" s="20" t="str">
        <f>VLOOKUP(A183,'Table S6C'!A:E,4,FALSE)</f>
        <v>unknown</v>
      </c>
      <c r="E183" s="20"/>
      <c r="F183" s="20">
        <v>577</v>
      </c>
      <c r="G183" s="21">
        <v>1</v>
      </c>
      <c r="H183" s="20">
        <v>0</v>
      </c>
      <c r="I183" s="20">
        <v>66.59</v>
      </c>
      <c r="J183" s="20">
        <v>413</v>
      </c>
      <c r="K183" s="20" t="str">
        <f>HYPERLINK("https://www.ncbi.nlm.nih.gov/protein/WP_024331292.1?report=genbank&amp;log$=prottop&amp;blast_rank=196&amp;RID=AS58GR0S013","WP_024331292.1")</f>
        <v>WP_024331292.1</v>
      </c>
      <c r="L183" s="23"/>
    </row>
    <row r="184" spans="1:12">
      <c r="A184" s="20" t="s">
        <v>700</v>
      </c>
      <c r="B184" s="20" t="str">
        <f>VLOOKUP(A184,'Table S6C'!A:C,2,FALSE)</f>
        <v> Bacillota</v>
      </c>
      <c r="C184" s="20" t="str">
        <f>VLOOKUP(A184,'Table S6C'!A:C,3,FALSE)</f>
        <v>Eubacteriales Family XIII. Incertae Sedis</v>
      </c>
      <c r="D184" s="20" t="str">
        <f>VLOOKUP(A184,'Table S6C'!A:E,4,FALSE)</f>
        <v>human feces</v>
      </c>
      <c r="E184" s="20" t="str">
        <f>VLOOKUP(A184,'Table S6C'!A:E,5,FALSE)</f>
        <v>Gastrointestinal tract</v>
      </c>
      <c r="F184" s="20">
        <v>592</v>
      </c>
      <c r="G184" s="21">
        <v>0.99</v>
      </c>
      <c r="H184" s="20">
        <v>0</v>
      </c>
      <c r="I184" s="20">
        <v>68.540000000000006</v>
      </c>
      <c r="J184" s="20">
        <v>411</v>
      </c>
      <c r="K184" s="20" t="str">
        <f>HYPERLINK("https://www.ncbi.nlm.nih.gov/protein/WP_187302384.1?report=genbank&amp;log$=prottop&amp;blast_rank=184&amp;RID=AS58GR0S013","WP_187302384.1")</f>
        <v>WP_187302384.1</v>
      </c>
      <c r="L184" s="23"/>
    </row>
  </sheetData>
  <autoFilter ref="A2:K184" xr:uid="{00000000-0009-0000-0000-000008000000}">
    <sortState xmlns:xlrd2="http://schemas.microsoft.com/office/spreadsheetml/2017/richdata2" ref="A2:K184">
      <sortCondition ref="A2:A184"/>
    </sortState>
  </autoFilter>
  <phoneticPr fontId="2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S6A</vt:lpstr>
      <vt:lpstr>Table S6B</vt:lpstr>
      <vt:lpstr>Table S6C</vt:lpstr>
      <vt:lpstr>Table S6D</vt:lpstr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미생물학회 한국</cp:lastModifiedBy>
  <dcterms:created xsi:type="dcterms:W3CDTF">2015-06-05T18:17:00Z</dcterms:created>
  <dcterms:modified xsi:type="dcterms:W3CDTF">2024-05-03T06:59:58Z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AEDD101073B04E0EB99707611177CAF6_12</vt:lpwstr>
  </property>
  <property fmtid="{D5CDD505-2E9C-101B-9397-08002B2CF9AE}" pid="3" name="KSOProductBuildVer">
    <vt:lpwstr>2052-12.1.0.16729</vt:lpwstr>
  </property>
</Properties>
</file>