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gnitchogna\Desktop\2022_Lectures\Sem2\Projects\Ernestine_JointWork\Thandi's data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42" i="1" l="1"/>
  <c r="BB37" i="1"/>
  <c r="BC37" i="1" s="1"/>
  <c r="BB38" i="1"/>
  <c r="BC38" i="1" s="1"/>
  <c r="BB39" i="1"/>
  <c r="BC39" i="1" s="1"/>
  <c r="BB40" i="1"/>
  <c r="BC40" i="1" s="1"/>
  <c r="AX49" i="1"/>
  <c r="AY49" i="1" s="1"/>
  <c r="AX50" i="1"/>
  <c r="AY50" i="1" s="1"/>
  <c r="AX51" i="1"/>
  <c r="AY51" i="1" s="1"/>
  <c r="AX52" i="1"/>
  <c r="AY52" i="1" s="1"/>
  <c r="AX53" i="1"/>
  <c r="AY53" i="1" s="1"/>
  <c r="AX54" i="1"/>
  <c r="AY54" i="1" s="1"/>
  <c r="AX55" i="1"/>
  <c r="AY55" i="1" s="1"/>
  <c r="AX56" i="1"/>
  <c r="AY56" i="1" s="1"/>
  <c r="AI43" i="1"/>
  <c r="AI45" i="1"/>
  <c r="AH37" i="1"/>
  <c r="AH38" i="1"/>
  <c r="AH39" i="1"/>
  <c r="AH40" i="1"/>
  <c r="AI40" i="1" s="1"/>
  <c r="AH41" i="1"/>
  <c r="AI41" i="1" s="1"/>
  <c r="AH42" i="1"/>
  <c r="AI42" i="1" s="1"/>
  <c r="AH43" i="1"/>
  <c r="AH44" i="1"/>
  <c r="AI44" i="1" s="1"/>
  <c r="AH45" i="1"/>
  <c r="AH46" i="1"/>
  <c r="AI46" i="1" s="1"/>
  <c r="AH47" i="1"/>
  <c r="AI47" i="1" s="1"/>
  <c r="AE37" i="1"/>
  <c r="AE41" i="1"/>
  <c r="AE45" i="1"/>
  <c r="AE49" i="1"/>
  <c r="AE53" i="1"/>
  <c r="AE57" i="1"/>
  <c r="AD37" i="1"/>
  <c r="AD38" i="1"/>
  <c r="AE38" i="1" s="1"/>
  <c r="AD39" i="1"/>
  <c r="AE39" i="1" s="1"/>
  <c r="AD40" i="1"/>
  <c r="AE40" i="1" s="1"/>
  <c r="AD41" i="1"/>
  <c r="AD42" i="1"/>
  <c r="AE42" i="1" s="1"/>
  <c r="AD43" i="1"/>
  <c r="AE43" i="1" s="1"/>
  <c r="AD44" i="1"/>
  <c r="AE44" i="1" s="1"/>
  <c r="AD45" i="1"/>
  <c r="AD46" i="1"/>
  <c r="AE46" i="1" s="1"/>
  <c r="AD47" i="1"/>
  <c r="AE47" i="1" s="1"/>
  <c r="AD48" i="1"/>
  <c r="AE48" i="1" s="1"/>
  <c r="AD49" i="1"/>
  <c r="AD50" i="1"/>
  <c r="AE50" i="1" s="1"/>
  <c r="AD51" i="1"/>
  <c r="AE51" i="1" s="1"/>
  <c r="AD52" i="1"/>
  <c r="AE52" i="1" s="1"/>
  <c r="AD53" i="1"/>
  <c r="AD54" i="1"/>
  <c r="AE54" i="1" s="1"/>
  <c r="AD55" i="1"/>
  <c r="AE55" i="1" s="1"/>
  <c r="AD56" i="1"/>
  <c r="AE56" i="1" s="1"/>
  <c r="AD57" i="1"/>
  <c r="AD58" i="1"/>
  <c r="AE58" i="1" s="1"/>
  <c r="V37" i="1"/>
  <c r="U37" i="1"/>
  <c r="T37" i="1"/>
  <c r="S37" i="1"/>
  <c r="R37" i="1"/>
  <c r="Q37" i="1"/>
  <c r="O37" i="1"/>
  <c r="N37" i="1"/>
  <c r="M9" i="1"/>
  <c r="BC4" i="1"/>
  <c r="BC5" i="1"/>
  <c r="BC6" i="1"/>
  <c r="BC7" i="1"/>
  <c r="BC8" i="1"/>
  <c r="BC3" i="1"/>
  <c r="BB4" i="1"/>
  <c r="BB5" i="1"/>
  <c r="BB6" i="1"/>
  <c r="BB7" i="1"/>
  <c r="BB8" i="1"/>
  <c r="BB3" i="1"/>
  <c r="AE4" i="1"/>
  <c r="AE5" i="1"/>
  <c r="AE6" i="1"/>
  <c r="AE7" i="1"/>
  <c r="AE8" i="1"/>
  <c r="AE9" i="1"/>
  <c r="AE10" i="1"/>
  <c r="AE11" i="1"/>
  <c r="AE12" i="1"/>
  <c r="AE13" i="1"/>
  <c r="AE14" i="1"/>
  <c r="AE15" i="1"/>
  <c r="AE16" i="1"/>
  <c r="AE17" i="1"/>
  <c r="AE18" i="1"/>
  <c r="AE19" i="1"/>
  <c r="AE20" i="1"/>
  <c r="AE21" i="1"/>
  <c r="AE22" i="1"/>
  <c r="AE23" i="1"/>
  <c r="AE24" i="1"/>
  <c r="AE25" i="1"/>
  <c r="AE26" i="1"/>
  <c r="AE27" i="1"/>
  <c r="AE28" i="1"/>
  <c r="AD4" i="1"/>
  <c r="AD5" i="1"/>
  <c r="AD6" i="1"/>
  <c r="AD7" i="1"/>
  <c r="AD8" i="1"/>
  <c r="AD9" i="1"/>
  <c r="AD10" i="1"/>
  <c r="AD11" i="1"/>
  <c r="AD12" i="1"/>
  <c r="AD13" i="1"/>
  <c r="AD14" i="1"/>
  <c r="AD15" i="1"/>
  <c r="AD16" i="1"/>
  <c r="AD17" i="1"/>
  <c r="AD18" i="1"/>
  <c r="AD19" i="1"/>
  <c r="AD20" i="1"/>
  <c r="AD21" i="1"/>
  <c r="AD22" i="1"/>
  <c r="AD23" i="1"/>
  <c r="AD24" i="1"/>
  <c r="AD25" i="1"/>
  <c r="AD26" i="1"/>
  <c r="AD27" i="1"/>
  <c r="AD28" i="1"/>
  <c r="AE3" i="1"/>
  <c r="AD3" i="1"/>
  <c r="AY4" i="1"/>
  <c r="AY5" i="1"/>
  <c r="AY6" i="1"/>
  <c r="AY7" i="1"/>
  <c r="AY8" i="1"/>
  <c r="AY9" i="1"/>
  <c r="AY10" i="1"/>
  <c r="AY11" i="1"/>
  <c r="AY12" i="1"/>
  <c r="AY13" i="1"/>
  <c r="AY14" i="1"/>
  <c r="AY15" i="1"/>
  <c r="AY16" i="1"/>
  <c r="AY17" i="1"/>
  <c r="AY18" i="1"/>
  <c r="AY19" i="1"/>
  <c r="AY20" i="1"/>
  <c r="AY21" i="1"/>
  <c r="AY22" i="1"/>
  <c r="AY23" i="1"/>
  <c r="AY24" i="1"/>
  <c r="AY25" i="1"/>
  <c r="AY26" i="1"/>
  <c r="AY27" i="1"/>
  <c r="AX4" i="1"/>
  <c r="AX5" i="1"/>
  <c r="AX6" i="1"/>
  <c r="AX7" i="1"/>
  <c r="AX8" i="1"/>
  <c r="AX9" i="1"/>
  <c r="AX10" i="1"/>
  <c r="AX11" i="1"/>
  <c r="AX12" i="1"/>
  <c r="AX13" i="1"/>
  <c r="AX14" i="1"/>
  <c r="AX15" i="1"/>
  <c r="AX16" i="1"/>
  <c r="AX17" i="1"/>
  <c r="AX18" i="1"/>
  <c r="AX19" i="1"/>
  <c r="AX20" i="1"/>
  <c r="AX21" i="1"/>
  <c r="AX22" i="1"/>
  <c r="AX23" i="1"/>
  <c r="AX24" i="1"/>
  <c r="AX25" i="1"/>
  <c r="AX26" i="1"/>
  <c r="AX27" i="1"/>
  <c r="AI4" i="1"/>
  <c r="AI5" i="1"/>
  <c r="AI6" i="1"/>
  <c r="AI7" i="1"/>
  <c r="AI8" i="1"/>
  <c r="AH4" i="1"/>
  <c r="AH5" i="1"/>
  <c r="AH6" i="1"/>
  <c r="AH7" i="1"/>
  <c r="AH8" i="1"/>
  <c r="V4" i="1"/>
  <c r="U4" i="1"/>
  <c r="T4" i="1"/>
  <c r="S4" i="1"/>
  <c r="R4" i="1"/>
  <c r="Q4" i="1"/>
  <c r="O4" i="1"/>
  <c r="N4" i="1"/>
  <c r="V51" i="1" l="1"/>
  <c r="U51" i="1"/>
  <c r="R51" i="1"/>
  <c r="Q51" i="1"/>
  <c r="N51" i="1"/>
  <c r="M51" i="1"/>
  <c r="BJ50" i="1"/>
  <c r="BK50" i="1" s="1"/>
  <c r="BJ49" i="1"/>
  <c r="BK49" i="1" s="1"/>
  <c r="V49" i="1"/>
  <c r="U49" i="1"/>
  <c r="T49" i="1"/>
  <c r="T51" i="1" s="1"/>
  <c r="S49" i="1"/>
  <c r="S51" i="1" s="1"/>
  <c r="R49" i="1"/>
  <c r="Q49" i="1"/>
  <c r="P49" i="1"/>
  <c r="P51" i="1" s="1"/>
  <c r="O49" i="1"/>
  <c r="M52" i="1" s="1"/>
  <c r="N49" i="1"/>
  <c r="M49" i="1"/>
  <c r="BJ48" i="1"/>
  <c r="BK48" i="1" s="1"/>
  <c r="AX48" i="1"/>
  <c r="AY48" i="1" s="1"/>
  <c r="BJ47" i="1"/>
  <c r="BK47" i="1" s="1"/>
  <c r="AX47" i="1"/>
  <c r="AY47" i="1" s="1"/>
  <c r="BJ46" i="1"/>
  <c r="BK46" i="1" s="1"/>
  <c r="AY46" i="1"/>
  <c r="AX46" i="1"/>
  <c r="BJ45" i="1"/>
  <c r="BK45" i="1" s="1"/>
  <c r="BF45" i="1"/>
  <c r="BG45" i="1" s="1"/>
  <c r="AY45" i="1"/>
  <c r="AX45" i="1"/>
  <c r="BJ44" i="1"/>
  <c r="BK44" i="1" s="1"/>
  <c r="BF44" i="1"/>
  <c r="BG44" i="1" s="1"/>
  <c r="AX44" i="1"/>
  <c r="AY44" i="1" s="1"/>
  <c r="BJ43" i="1"/>
  <c r="BK43" i="1" s="1"/>
  <c r="BF43" i="1"/>
  <c r="BG43" i="1" s="1"/>
  <c r="AX43" i="1"/>
  <c r="AY43" i="1" s="1"/>
  <c r="BJ42" i="1"/>
  <c r="BK42" i="1" s="1"/>
  <c r="BF42" i="1"/>
  <c r="BG42" i="1" s="1"/>
  <c r="AX42" i="1"/>
  <c r="AY42" i="1" s="1"/>
  <c r="BJ41" i="1"/>
  <c r="BK41" i="1" s="1"/>
  <c r="BF41" i="1"/>
  <c r="BG41" i="1" s="1"/>
  <c r="AX41" i="1"/>
  <c r="AY41" i="1" s="1"/>
  <c r="BJ40" i="1"/>
  <c r="BK40" i="1" s="1"/>
  <c r="BF40" i="1"/>
  <c r="BG40" i="1" s="1"/>
  <c r="AX40" i="1"/>
  <c r="AY40" i="1" s="1"/>
  <c r="M40" i="1"/>
  <c r="BJ39" i="1"/>
  <c r="BK39" i="1" s="1"/>
  <c r="BF39" i="1"/>
  <c r="BG39" i="1" s="1"/>
  <c r="AX39" i="1"/>
  <c r="AY39" i="1" s="1"/>
  <c r="AL39" i="1"/>
  <c r="AM39" i="1" s="1"/>
  <c r="AI39" i="1"/>
  <c r="M39" i="1"/>
  <c r="BJ38" i="1"/>
  <c r="BK38" i="1" s="1"/>
  <c r="BF38" i="1"/>
  <c r="BG38" i="1" s="1"/>
  <c r="AX38" i="1"/>
  <c r="AY38" i="1" s="1"/>
  <c r="AL38" i="1"/>
  <c r="AM38" i="1" s="1"/>
  <c r="AI38" i="1"/>
  <c r="BJ37" i="1"/>
  <c r="BK37" i="1" s="1"/>
  <c r="BF37" i="1"/>
  <c r="BG37" i="1" s="1"/>
  <c r="AX37" i="1"/>
  <c r="AY37" i="1" s="1"/>
  <c r="AL37" i="1"/>
  <c r="AM37" i="1" s="1"/>
  <c r="AI37" i="1"/>
  <c r="P37" i="1"/>
  <c r="M37" i="1"/>
  <c r="M41" i="1" s="1"/>
  <c r="M44" i="1" s="1"/>
  <c r="BJ36" i="1"/>
  <c r="BK36" i="1" s="1"/>
  <c r="BF36" i="1"/>
  <c r="BG36" i="1" s="1"/>
  <c r="BB36" i="1"/>
  <c r="BC36" i="1" s="1"/>
  <c r="AX36" i="1"/>
  <c r="AY36" i="1" s="1"/>
  <c r="AL36" i="1"/>
  <c r="AM36" i="1" s="1"/>
  <c r="AH36" i="1"/>
  <c r="AI36" i="1" s="1"/>
  <c r="AD36" i="1"/>
  <c r="AE36" i="1" s="1"/>
  <c r="BJ18" i="1"/>
  <c r="BK18" i="1" s="1"/>
  <c r="T18" i="1"/>
  <c r="S18" i="1"/>
  <c r="P18" i="1"/>
  <c r="O18" i="1"/>
  <c r="BJ17" i="1"/>
  <c r="BK17" i="1" s="1"/>
  <c r="BJ16" i="1"/>
  <c r="BK16" i="1" s="1"/>
  <c r="V16" i="1"/>
  <c r="V18" i="1" s="1"/>
  <c r="U16" i="1"/>
  <c r="U18" i="1" s="1"/>
  <c r="T16" i="1"/>
  <c r="S16" i="1"/>
  <c r="R16" i="1"/>
  <c r="R18" i="1" s="1"/>
  <c r="Q16" i="1"/>
  <c r="Q18" i="1" s="1"/>
  <c r="P16" i="1"/>
  <c r="O16" i="1"/>
  <c r="N16" i="1"/>
  <c r="N18" i="1" s="1"/>
  <c r="M16" i="1"/>
  <c r="M19" i="1" s="1"/>
  <c r="BJ15" i="1"/>
  <c r="BK15" i="1" s="1"/>
  <c r="BJ14" i="1"/>
  <c r="BK14" i="1" s="1"/>
  <c r="BJ13" i="1"/>
  <c r="BK13" i="1" s="1"/>
  <c r="BJ12" i="1"/>
  <c r="BK12" i="1" s="1"/>
  <c r="BJ11" i="1"/>
  <c r="BK11" i="1" s="1"/>
  <c r="BJ10" i="1"/>
  <c r="BK10" i="1" s="1"/>
  <c r="BF10" i="1"/>
  <c r="BG10" i="1" s="1"/>
  <c r="BJ9" i="1"/>
  <c r="BK9" i="1" s="1"/>
  <c r="BF9" i="1"/>
  <c r="BG9" i="1" s="1"/>
  <c r="BJ8" i="1"/>
  <c r="BK8" i="1" s="1"/>
  <c r="BF8" i="1"/>
  <c r="BG8" i="1" s="1"/>
  <c r="AL8" i="1"/>
  <c r="AM8" i="1" s="1"/>
  <c r="BJ7" i="1"/>
  <c r="BK7" i="1" s="1"/>
  <c r="BF7" i="1"/>
  <c r="BG7" i="1" s="1"/>
  <c r="AL7" i="1"/>
  <c r="AM7" i="1" s="1"/>
  <c r="M7" i="1"/>
  <c r="BJ6" i="1"/>
  <c r="BK6" i="1" s="1"/>
  <c r="BF6" i="1"/>
  <c r="BG6" i="1" s="1"/>
  <c r="AL6" i="1"/>
  <c r="AM6" i="1" s="1"/>
  <c r="M6" i="1"/>
  <c r="BJ5" i="1"/>
  <c r="BK5" i="1" s="1"/>
  <c r="BF5" i="1"/>
  <c r="BG5" i="1" s="1"/>
  <c r="AL5" i="1"/>
  <c r="AM5" i="1" s="1"/>
  <c r="BJ4" i="1"/>
  <c r="BK4" i="1" s="1"/>
  <c r="BF4" i="1"/>
  <c r="BG4" i="1" s="1"/>
  <c r="AL4" i="1"/>
  <c r="AM4" i="1" s="1"/>
  <c r="P4" i="1"/>
  <c r="M4" i="1"/>
  <c r="M8" i="1" s="1"/>
  <c r="M11" i="1" s="1"/>
  <c r="BJ3" i="1"/>
  <c r="BK3" i="1" s="1"/>
  <c r="BF3" i="1"/>
  <c r="BG3" i="1" s="1"/>
  <c r="AX3" i="1"/>
  <c r="AY3" i="1" s="1"/>
  <c r="AL3" i="1"/>
  <c r="AM3" i="1" s="1"/>
  <c r="AH3" i="1"/>
  <c r="AI3" i="1" s="1"/>
  <c r="S53" i="1" l="1"/>
  <c r="S20" i="1"/>
  <c r="O20" i="1"/>
  <c r="T20" i="1"/>
  <c r="V53" i="1"/>
  <c r="R53" i="1"/>
  <c r="N53" i="1"/>
  <c r="V20" i="1"/>
  <c r="R20" i="1"/>
  <c r="N20" i="1"/>
  <c r="U53" i="1"/>
  <c r="Q53" i="1"/>
  <c r="M53" i="1"/>
  <c r="U20" i="1"/>
  <c r="Q20" i="1"/>
  <c r="P20" i="1"/>
  <c r="T53" i="1"/>
  <c r="P53" i="1"/>
  <c r="M12" i="1"/>
  <c r="M13" i="1" s="1"/>
  <c r="M45" i="1"/>
  <c r="M46" i="1" s="1"/>
  <c r="M38" i="1"/>
  <c r="M43" i="1" s="1"/>
  <c r="O51" i="1"/>
  <c r="O53" i="1" s="1"/>
  <c r="M5" i="1"/>
  <c r="M10" i="1" s="1"/>
  <c r="M18" i="1"/>
  <c r="M20" i="1" s="1"/>
  <c r="M21" i="1" s="1"/>
  <c r="M47" i="1" l="1"/>
  <c r="M14" i="1"/>
  <c r="M54" i="1"/>
</calcChain>
</file>

<file path=xl/sharedStrings.xml><?xml version="1.0" encoding="utf-8"?>
<sst xmlns="http://schemas.openxmlformats.org/spreadsheetml/2006/main" count="184" uniqueCount="38">
  <si>
    <t>Dry</t>
  </si>
  <si>
    <t>DateTimeMeas</t>
  </si>
  <si>
    <t>pH</t>
  </si>
  <si>
    <t>EC mS/m</t>
  </si>
  <si>
    <t>TDS mg/l</t>
  </si>
  <si>
    <t>Ca mg/l</t>
  </si>
  <si>
    <t>Mg mg/l</t>
  </si>
  <si>
    <t>Na mg/l</t>
  </si>
  <si>
    <t>SO4 mg/l</t>
  </si>
  <si>
    <t>Al mg/l</t>
  </si>
  <si>
    <t>Fe mg/l</t>
  </si>
  <si>
    <t>Mn mg/l</t>
  </si>
  <si>
    <t>Parameters</t>
  </si>
  <si>
    <t>Obj</t>
  </si>
  <si>
    <t>FT/Obj</t>
  </si>
  <si>
    <t>Excursion Values</t>
  </si>
  <si>
    <t>BIS (Sn)</t>
  </si>
  <si>
    <t>Exceding</t>
  </si>
  <si>
    <t>Number of Failed Variables(Paramaters)</t>
  </si>
  <si>
    <t>Total number of Parameters</t>
  </si>
  <si>
    <t>Total number of Tests</t>
  </si>
  <si>
    <t>Total number of failed tests</t>
  </si>
  <si>
    <t>Total excursion Values</t>
  </si>
  <si>
    <t>F1</t>
  </si>
  <si>
    <t>F2</t>
  </si>
  <si>
    <t>nse</t>
  </si>
  <si>
    <t>F3</t>
  </si>
  <si>
    <t>CCME_WQI_DryUpstream</t>
  </si>
  <si>
    <t>Average</t>
  </si>
  <si>
    <t>PIs=Ci/Si</t>
  </si>
  <si>
    <t>1/n</t>
  </si>
  <si>
    <t>PI/n</t>
  </si>
  <si>
    <t>CPI_DryUpstream</t>
  </si>
  <si>
    <t>Wet</t>
  </si>
  <si>
    <t>CCME_WQI_WetUpstream</t>
  </si>
  <si>
    <t>CPI_WetUpstream</t>
  </si>
  <si>
    <t>Exceeding</t>
  </si>
  <si>
    <t>Number of Failed Variables(Parameters)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</si>
</sst>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8"/>
      <color theme="1"/>
      <name val="Calibri Light"/>
      <family val="2"/>
    </font>
    <font>
      <b/>
      <sz val="10"/>
      <color theme="1"/>
      <name val="Calibri"/>
      <family val="2"/>
      <scheme val="minor"/>
    </font>
    <font>
      <sz val="8"/>
      <color theme="1"/>
      <name val="Calibri Light"/>
      <family val="2"/>
    </font>
    <font>
      <sz val="8"/>
      <name val="Calibri Light"/>
      <family val="2"/>
    </font>
    <font>
      <sz val="8"/>
      <color indexed="8"/>
      <name val="Calibri Light"/>
      <family val="2"/>
    </font>
    <font>
      <sz val="10"/>
      <name val="Arial"/>
      <family val="2"/>
    </font>
    <font>
      <b/>
      <sz val="8"/>
      <name val="Calibri Light"/>
      <family val="2"/>
    </font>
    <font>
      <sz val="10"/>
      <color indexed="8"/>
      <name val="Arial"/>
      <family val="2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7" fillId="0" borderId="0"/>
    <xf numFmtId="0" fontId="9" fillId="0" borderId="0"/>
  </cellStyleXfs>
  <cellXfs count="62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14" fontId="4" fillId="0" borderId="6" xfId="0" applyNumberFormat="1" applyFont="1" applyBorder="1" applyAlignment="1">
      <alignment vertical="center"/>
    </xf>
    <xf numFmtId="164" fontId="5" fillId="0" borderId="7" xfId="0" applyNumberFormat="1" applyFont="1" applyBorder="1" applyAlignment="1">
      <alignment horizontal="center" vertical="center"/>
    </xf>
    <xf numFmtId="164" fontId="6" fillId="0" borderId="7" xfId="0" applyNumberFormat="1" applyFont="1" applyBorder="1" applyAlignment="1">
      <alignment horizontal="center" vertical="center"/>
    </xf>
    <xf numFmtId="164" fontId="6" fillId="0" borderId="8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164" fontId="5" fillId="3" borderId="0" xfId="0" applyNumberFormat="1" applyFont="1" applyFill="1" applyBorder="1" applyAlignment="1">
      <alignment horizontal="center" vertical="center"/>
    </xf>
    <xf numFmtId="164" fontId="5" fillId="3" borderId="10" xfId="0" applyNumberFormat="1" applyFont="1" applyFill="1" applyBorder="1" applyAlignment="1">
      <alignment horizontal="center" vertical="center"/>
    </xf>
    <xf numFmtId="164" fontId="5" fillId="3" borderId="7" xfId="0" applyNumberFormat="1" applyFont="1" applyFill="1" applyBorder="1" applyAlignment="1">
      <alignment horizontal="center" vertical="center"/>
    </xf>
    <xf numFmtId="164" fontId="5" fillId="0" borderId="8" xfId="0" applyNumberFormat="1" applyFont="1" applyBorder="1" applyAlignment="1">
      <alignment horizontal="center" vertical="center"/>
    </xf>
    <xf numFmtId="2" fontId="6" fillId="0" borderId="7" xfId="0" applyNumberFormat="1" applyFont="1" applyBorder="1" applyAlignment="1">
      <alignment horizontal="center" vertical="center"/>
    </xf>
    <xf numFmtId="2" fontId="6" fillId="0" borderId="8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2" fontId="5" fillId="3" borderId="7" xfId="1" applyNumberFormat="1" applyFont="1" applyFill="1" applyBorder="1" applyAlignment="1">
      <alignment horizontal="center" vertical="center"/>
    </xf>
    <xf numFmtId="14" fontId="4" fillId="3" borderId="6" xfId="0" applyNumberFormat="1" applyFont="1" applyFill="1" applyBorder="1" applyAlignment="1">
      <alignment vertical="center"/>
    </xf>
    <xf numFmtId="164" fontId="5" fillId="3" borderId="8" xfId="0" applyNumberFormat="1" applyFont="1" applyFill="1" applyBorder="1" applyAlignment="1">
      <alignment horizontal="center" vertical="center"/>
    </xf>
    <xf numFmtId="164" fontId="8" fillId="3" borderId="0" xfId="0" applyNumberFormat="1" applyFont="1" applyFill="1" applyBorder="1" applyAlignment="1">
      <alignment horizontal="center" vertical="center"/>
    </xf>
    <xf numFmtId="0" fontId="3" fillId="0" borderId="11" xfId="0" applyFont="1" applyBorder="1" applyAlignment="1">
      <alignment vertical="center"/>
    </xf>
    <xf numFmtId="164" fontId="8" fillId="3" borderId="12" xfId="0" applyNumberFormat="1" applyFont="1" applyFill="1" applyBorder="1" applyAlignment="1">
      <alignment horizontal="center" vertical="center"/>
    </xf>
    <xf numFmtId="164" fontId="5" fillId="3" borderId="12" xfId="0" applyNumberFormat="1" applyFont="1" applyFill="1" applyBorder="1" applyAlignment="1">
      <alignment horizontal="center" vertical="center"/>
    </xf>
    <xf numFmtId="164" fontId="5" fillId="3" borderId="13" xfId="0" applyNumberFormat="1" applyFont="1" applyFill="1" applyBorder="1" applyAlignment="1">
      <alignment horizontal="center" vertical="center"/>
    </xf>
    <xf numFmtId="164" fontId="5" fillId="0" borderId="7" xfId="2" applyNumberFormat="1" applyFont="1" applyBorder="1" applyAlignment="1">
      <alignment horizontal="center" vertical="center" wrapText="1"/>
    </xf>
    <xf numFmtId="164" fontId="5" fillId="0" borderId="8" xfId="2" applyNumberFormat="1" applyFont="1" applyBorder="1" applyAlignment="1">
      <alignment horizontal="center" vertical="center" wrapText="1"/>
    </xf>
    <xf numFmtId="0" fontId="3" fillId="0" borderId="9" xfId="0" applyFont="1" applyFill="1" applyBorder="1" applyAlignment="1">
      <alignment vertical="center"/>
    </xf>
    <xf numFmtId="2" fontId="5" fillId="3" borderId="8" xfId="1" applyNumberFormat="1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vertical="center"/>
    </xf>
    <xf numFmtId="22" fontId="4" fillId="0" borderId="0" xfId="0" applyNumberFormat="1" applyFont="1" applyAlignment="1">
      <alignment vertical="center"/>
    </xf>
    <xf numFmtId="164" fontId="5" fillId="0" borderId="0" xfId="0" applyNumberFormat="1" applyFont="1" applyAlignment="1">
      <alignment horizontal="center" vertical="center"/>
    </xf>
    <xf numFmtId="0" fontId="10" fillId="0" borderId="0" xfId="0" applyFont="1"/>
    <xf numFmtId="22" fontId="4" fillId="0" borderId="14" xfId="0" applyNumberFormat="1" applyFont="1" applyBorder="1" applyAlignment="1">
      <alignment vertical="center"/>
    </xf>
    <xf numFmtId="164" fontId="5" fillId="0" borderId="4" xfId="0" applyNumberFormat="1" applyFont="1" applyBorder="1" applyAlignment="1">
      <alignment horizontal="center" vertical="center"/>
    </xf>
    <xf numFmtId="2" fontId="6" fillId="0" borderId="4" xfId="0" applyNumberFormat="1" applyFont="1" applyBorder="1" applyAlignment="1">
      <alignment horizontal="center" vertical="center"/>
    </xf>
    <xf numFmtId="2" fontId="6" fillId="0" borderId="5" xfId="0" applyNumberFormat="1" applyFont="1" applyBorder="1" applyAlignment="1">
      <alignment horizontal="center" vertical="center"/>
    </xf>
    <xf numFmtId="22" fontId="4" fillId="0" borderId="6" xfId="0" applyNumberFormat="1" applyFont="1" applyBorder="1" applyAlignment="1">
      <alignment vertical="center"/>
    </xf>
    <xf numFmtId="164" fontId="5" fillId="0" borderId="5" xfId="0" applyNumberFormat="1" applyFont="1" applyBorder="1" applyAlignment="1">
      <alignment horizontal="center" vertical="center"/>
    </xf>
    <xf numFmtId="22" fontId="4" fillId="0" borderId="15" xfId="0" applyNumberFormat="1" applyFont="1" applyBorder="1" applyAlignment="1">
      <alignment vertical="center"/>
    </xf>
    <xf numFmtId="164" fontId="5" fillId="0" borderId="16" xfId="0" applyNumberFormat="1" applyFont="1" applyBorder="1" applyAlignment="1">
      <alignment horizontal="center" vertical="center"/>
    </xf>
    <xf numFmtId="164" fontId="5" fillId="0" borderId="17" xfId="0" applyNumberFormat="1" applyFont="1" applyBorder="1" applyAlignment="1">
      <alignment horizontal="center" vertical="center"/>
    </xf>
    <xf numFmtId="22" fontId="4" fillId="3" borderId="14" xfId="0" applyNumberFormat="1" applyFont="1" applyFill="1" applyBorder="1" applyAlignment="1">
      <alignment vertical="center"/>
    </xf>
    <xf numFmtId="164" fontId="5" fillId="3" borderId="4" xfId="0" applyNumberFormat="1" applyFont="1" applyFill="1" applyBorder="1" applyAlignment="1">
      <alignment horizontal="center" vertical="center"/>
    </xf>
    <xf numFmtId="164" fontId="5" fillId="3" borderId="5" xfId="0" applyNumberFormat="1" applyFont="1" applyFill="1" applyBorder="1" applyAlignment="1">
      <alignment horizontal="center" vertical="center"/>
    </xf>
    <xf numFmtId="22" fontId="4" fillId="3" borderId="6" xfId="0" applyNumberFormat="1" applyFont="1" applyFill="1" applyBorder="1" applyAlignment="1">
      <alignment vertical="center"/>
    </xf>
    <xf numFmtId="22" fontId="4" fillId="3" borderId="15" xfId="0" applyNumberFormat="1" applyFont="1" applyFill="1" applyBorder="1" applyAlignment="1">
      <alignment vertical="center"/>
    </xf>
    <xf numFmtId="164" fontId="5" fillId="3" borderId="16" xfId="0" applyNumberFormat="1" applyFont="1" applyFill="1" applyBorder="1" applyAlignment="1">
      <alignment horizontal="center" vertical="center"/>
    </xf>
    <xf numFmtId="164" fontId="5" fillId="3" borderId="17" xfId="0" applyNumberFormat="1" applyFont="1" applyFill="1" applyBorder="1" applyAlignment="1">
      <alignment horizontal="center" vertical="center"/>
    </xf>
    <xf numFmtId="2" fontId="5" fillId="0" borderId="7" xfId="1" applyNumberFormat="1" applyFont="1" applyBorder="1" applyAlignment="1">
      <alignment horizontal="center" vertical="center"/>
    </xf>
    <xf numFmtId="2" fontId="5" fillId="0" borderId="8" xfId="1" applyNumberFormat="1" applyFont="1" applyBorder="1" applyAlignment="1">
      <alignment horizontal="center" vertical="center"/>
    </xf>
    <xf numFmtId="2" fontId="5" fillId="0" borderId="16" xfId="1" applyNumberFormat="1" applyFont="1" applyBorder="1" applyAlignment="1">
      <alignment horizontal="center" vertical="center"/>
    </xf>
    <xf numFmtId="2" fontId="5" fillId="0" borderId="17" xfId="1" applyNumberFormat="1" applyFont="1" applyBorder="1" applyAlignment="1">
      <alignment horizontal="center" vertical="center"/>
    </xf>
    <xf numFmtId="2" fontId="5" fillId="3" borderId="4" xfId="1" applyNumberFormat="1" applyFont="1" applyFill="1" applyBorder="1" applyAlignment="1">
      <alignment horizontal="center" vertical="center"/>
    </xf>
    <xf numFmtId="2" fontId="5" fillId="3" borderId="5" xfId="1" applyNumberFormat="1" applyFont="1" applyFill="1" applyBorder="1" applyAlignment="1">
      <alignment horizontal="center" vertical="center"/>
    </xf>
    <xf numFmtId="2" fontId="5" fillId="3" borderId="16" xfId="1" applyNumberFormat="1" applyFont="1" applyFill="1" applyBorder="1" applyAlignment="1">
      <alignment horizontal="center" vertical="center"/>
    </xf>
    <xf numFmtId="2" fontId="5" fillId="3" borderId="17" xfId="1" applyNumberFormat="1" applyFont="1" applyFill="1" applyBorder="1" applyAlignment="1">
      <alignment horizontal="center" vertical="center"/>
    </xf>
    <xf numFmtId="2" fontId="5" fillId="0" borderId="4" xfId="1" applyNumberFormat="1" applyFont="1" applyBorder="1" applyAlignment="1">
      <alignment horizontal="center" vertical="center"/>
    </xf>
    <xf numFmtId="2" fontId="5" fillId="0" borderId="5" xfId="1" applyNumberFormat="1" applyFont="1" applyBorder="1" applyAlignment="1">
      <alignment horizontal="center" vertical="center"/>
    </xf>
  </cellXfs>
  <cellStyles count="3">
    <cellStyle name="Normal" xfId="0" builtinId="0"/>
    <cellStyle name="Normal 2" xfId="2"/>
    <cellStyle name="Normal 3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65"/>
  <sheetViews>
    <sheetView tabSelected="1" topLeftCell="H107" workbookViewId="0">
      <selection activeCell="L35" sqref="L35:V54"/>
    </sheetView>
  </sheetViews>
  <sheetFormatPr defaultRowHeight="15" x14ac:dyDescent="0.25"/>
  <cols>
    <col min="1" max="1" width="12" customWidth="1"/>
    <col min="12" max="12" width="35.140625" customWidth="1"/>
  </cols>
  <sheetData>
    <row r="1" spans="1:63" ht="21.75" thickBot="1" x14ac:dyDescent="0.4">
      <c r="A1" s="1" t="s">
        <v>0</v>
      </c>
    </row>
    <row r="2" spans="1:63" ht="22.5" x14ac:dyDescent="0.2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4" t="s">
        <v>11</v>
      </c>
      <c r="L2" s="5" t="s">
        <v>12</v>
      </c>
      <c r="M2" s="6" t="s">
        <v>2</v>
      </c>
      <c r="N2" s="6" t="s">
        <v>3</v>
      </c>
      <c r="O2" s="6" t="s">
        <v>4</v>
      </c>
      <c r="P2" s="6" t="s">
        <v>5</v>
      </c>
      <c r="Q2" s="6" t="s">
        <v>6</v>
      </c>
      <c r="R2" s="6" t="s">
        <v>7</v>
      </c>
      <c r="S2" s="6" t="s">
        <v>8</v>
      </c>
      <c r="T2" s="6" t="s">
        <v>9</v>
      </c>
      <c r="U2" s="6" t="s">
        <v>10</v>
      </c>
      <c r="V2" s="7" t="s">
        <v>11</v>
      </c>
      <c r="X2" s="3" t="s">
        <v>2</v>
      </c>
      <c r="Y2" s="3" t="s">
        <v>13</v>
      </c>
      <c r="Z2" s="3" t="s">
        <v>14</v>
      </c>
      <c r="AA2" s="3" t="s">
        <v>15</v>
      </c>
      <c r="AB2" s="3" t="s">
        <v>3</v>
      </c>
      <c r="AC2" s="3" t="s">
        <v>13</v>
      </c>
      <c r="AD2" s="3" t="s">
        <v>14</v>
      </c>
      <c r="AE2" s="3" t="s">
        <v>15</v>
      </c>
      <c r="AF2" s="3" t="s">
        <v>4</v>
      </c>
      <c r="AG2" s="3" t="s">
        <v>13</v>
      </c>
      <c r="AH2" s="3" t="s">
        <v>14</v>
      </c>
      <c r="AI2" s="3" t="s">
        <v>15</v>
      </c>
      <c r="AJ2" s="3" t="s">
        <v>5</v>
      </c>
      <c r="AK2" s="3" t="s">
        <v>13</v>
      </c>
      <c r="AL2" s="3" t="s">
        <v>14</v>
      </c>
      <c r="AM2" s="3" t="s">
        <v>15</v>
      </c>
      <c r="AN2" s="3" t="s">
        <v>6</v>
      </c>
      <c r="AO2" s="3" t="s">
        <v>13</v>
      </c>
      <c r="AP2" s="3" t="s">
        <v>14</v>
      </c>
      <c r="AQ2" s="3" t="s">
        <v>15</v>
      </c>
      <c r="AR2" s="3" t="s">
        <v>7</v>
      </c>
      <c r="AS2" s="3" t="s">
        <v>13</v>
      </c>
      <c r="AT2" s="3" t="s">
        <v>14</v>
      </c>
      <c r="AU2" s="3" t="s">
        <v>15</v>
      </c>
      <c r="AV2" s="3" t="s">
        <v>8</v>
      </c>
      <c r="AW2" s="3" t="s">
        <v>13</v>
      </c>
      <c r="AX2" s="3" t="s">
        <v>14</v>
      </c>
      <c r="AY2" s="3" t="s">
        <v>15</v>
      </c>
      <c r="AZ2" s="3" t="s">
        <v>9</v>
      </c>
      <c r="BA2" s="3" t="s">
        <v>13</v>
      </c>
      <c r="BB2" s="3" t="s">
        <v>14</v>
      </c>
      <c r="BC2" s="3" t="s">
        <v>15</v>
      </c>
      <c r="BD2" s="3" t="s">
        <v>10</v>
      </c>
      <c r="BE2" s="3" t="s">
        <v>13</v>
      </c>
      <c r="BF2" s="3" t="s">
        <v>14</v>
      </c>
      <c r="BG2" s="3" t="s">
        <v>15</v>
      </c>
      <c r="BH2" s="3" t="s">
        <v>11</v>
      </c>
      <c r="BI2" s="3" t="s">
        <v>13</v>
      </c>
      <c r="BJ2" s="3" t="s">
        <v>14</v>
      </c>
      <c r="BK2" s="3" t="s">
        <v>15</v>
      </c>
    </row>
    <row r="3" spans="1:63" x14ac:dyDescent="0.25">
      <c r="A3" s="8">
        <v>42853</v>
      </c>
      <c r="B3" s="9">
        <v>6</v>
      </c>
      <c r="C3" s="9">
        <v>23.27</v>
      </c>
      <c r="D3" s="9">
        <v>79.75</v>
      </c>
      <c r="E3" s="9">
        <v>13.1</v>
      </c>
      <c r="F3" s="9">
        <v>11.7</v>
      </c>
      <c r="G3" s="9">
        <v>10.7</v>
      </c>
      <c r="H3" s="9">
        <v>59.2</v>
      </c>
      <c r="I3" s="10">
        <v>0.09</v>
      </c>
      <c r="J3" s="10">
        <v>1.5</v>
      </c>
      <c r="K3" s="11">
        <v>0.4</v>
      </c>
      <c r="L3" s="12" t="s">
        <v>16</v>
      </c>
      <c r="M3" s="13">
        <v>8</v>
      </c>
      <c r="N3" s="13">
        <v>30</v>
      </c>
      <c r="O3" s="13">
        <v>500</v>
      </c>
      <c r="P3" s="13">
        <v>75</v>
      </c>
      <c r="Q3" s="13">
        <v>500</v>
      </c>
      <c r="R3" s="13">
        <v>2000</v>
      </c>
      <c r="S3" s="13">
        <v>80</v>
      </c>
      <c r="T3" s="13">
        <v>5</v>
      </c>
      <c r="U3" s="13">
        <v>0.75</v>
      </c>
      <c r="V3" s="14">
        <v>0.18</v>
      </c>
      <c r="X3" s="15"/>
      <c r="Y3" s="15"/>
      <c r="Z3" s="15"/>
      <c r="AA3" s="15"/>
      <c r="AB3" s="15">
        <v>33.299999999999997</v>
      </c>
      <c r="AC3" s="15">
        <v>30</v>
      </c>
      <c r="AD3" s="15">
        <f>AB3/AC3</f>
        <v>1.1099999999999999</v>
      </c>
      <c r="AE3" s="15">
        <f>AD3-1</f>
        <v>0.10999999999999988</v>
      </c>
      <c r="AF3" s="15">
        <v>768.02961000000005</v>
      </c>
      <c r="AG3" s="15">
        <v>500</v>
      </c>
      <c r="AH3" s="15">
        <f>AF3/AG3</f>
        <v>1.5360592200000001</v>
      </c>
      <c r="AI3" s="15">
        <f>AH3-1</f>
        <v>0.53605922000000006</v>
      </c>
      <c r="AJ3" s="15">
        <v>77.5</v>
      </c>
      <c r="AK3" s="15">
        <v>75</v>
      </c>
      <c r="AL3" s="15">
        <f>AJ3/AK3</f>
        <v>1.0333333333333334</v>
      </c>
      <c r="AM3" s="15">
        <f>AL3-1</f>
        <v>3.3333333333333437E-2</v>
      </c>
      <c r="AN3" s="15"/>
      <c r="AO3" s="15"/>
      <c r="AP3" s="15"/>
      <c r="AQ3" s="15"/>
      <c r="AR3" s="15"/>
      <c r="AS3" s="15"/>
      <c r="AT3" s="15"/>
      <c r="AU3" s="15"/>
      <c r="AV3" s="15">
        <v>109.6</v>
      </c>
      <c r="AW3" s="15">
        <v>80</v>
      </c>
      <c r="AX3" s="15">
        <f>AV3/AW3</f>
        <v>1.3699999999999999</v>
      </c>
      <c r="AY3" s="15">
        <f>AX3-1</f>
        <v>0.36999999999999988</v>
      </c>
      <c r="AZ3" s="20">
        <v>7.5359999999999996</v>
      </c>
      <c r="BA3" s="15">
        <v>5</v>
      </c>
      <c r="BB3" s="15">
        <f>AZ3/BA3</f>
        <v>1.5071999999999999</v>
      </c>
      <c r="BC3" s="15">
        <f>BB3-1</f>
        <v>0.50719999999999987</v>
      </c>
      <c r="BD3" s="15">
        <v>1.5</v>
      </c>
      <c r="BE3" s="15">
        <v>0.75</v>
      </c>
      <c r="BF3" s="15">
        <f>BD3/BE3</f>
        <v>2</v>
      </c>
      <c r="BG3" s="15">
        <f>BF3-1</f>
        <v>1</v>
      </c>
      <c r="BH3" s="15">
        <v>0.4</v>
      </c>
      <c r="BI3" s="15">
        <v>0.18</v>
      </c>
      <c r="BJ3" s="15">
        <f>BH3/BI3</f>
        <v>2.2222222222222223</v>
      </c>
      <c r="BK3" s="15">
        <f>BJ3-1</f>
        <v>1.2222222222222223</v>
      </c>
    </row>
    <row r="4" spans="1:63" x14ac:dyDescent="0.25">
      <c r="A4" s="8">
        <v>42883</v>
      </c>
      <c r="B4" s="9">
        <v>6.5</v>
      </c>
      <c r="C4" s="9">
        <v>13.7</v>
      </c>
      <c r="D4" s="9">
        <v>34.43</v>
      </c>
      <c r="E4" s="9">
        <v>6.1</v>
      </c>
      <c r="F4" s="9">
        <v>4.9000000000000004</v>
      </c>
      <c r="G4" s="9">
        <v>10.4</v>
      </c>
      <c r="H4" s="9">
        <v>19.8</v>
      </c>
      <c r="I4" s="9">
        <v>7.0000000000000007E-2</v>
      </c>
      <c r="J4" s="9">
        <v>0.4</v>
      </c>
      <c r="K4" s="16">
        <v>0.1</v>
      </c>
      <c r="L4" s="12" t="s">
        <v>36</v>
      </c>
      <c r="M4" s="13">
        <f>COUNTIF(B3:B32,"&gt;8")</f>
        <v>0</v>
      </c>
      <c r="N4" s="13">
        <f>COUNTIF(C3:C32,"&gt;30")</f>
        <v>26</v>
      </c>
      <c r="O4" s="13">
        <f>COUNTIF(D3:D32, "&gt;500")</f>
        <v>6</v>
      </c>
      <c r="P4" s="13">
        <f>COUNTIF(E3:E32,"&gt;75")</f>
        <v>6</v>
      </c>
      <c r="Q4" s="13">
        <f>COUNTIF(F3:F32,"&gt;500")</f>
        <v>0</v>
      </c>
      <c r="R4" s="13">
        <f>COUNTIF(G3:G32,"&gt;2000")</f>
        <v>0</v>
      </c>
      <c r="S4" s="13">
        <f>COUNTIF(H3:H32,"&gt;80")</f>
        <v>25</v>
      </c>
      <c r="T4" s="13">
        <f>COUNTIF(I3:I32,"&gt;5")</f>
        <v>6</v>
      </c>
      <c r="U4" s="13">
        <f>COUNTIF(J3:J32,"&gt;0.75")</f>
        <v>8</v>
      </c>
      <c r="V4" s="14">
        <f>COUNTIF(K3:K32,"&gt;0.18")</f>
        <v>16</v>
      </c>
      <c r="X4" s="15"/>
      <c r="Y4" s="15"/>
      <c r="Z4" s="15"/>
      <c r="AA4" s="15"/>
      <c r="AB4" s="15">
        <v>48.1</v>
      </c>
      <c r="AC4" s="15">
        <v>30</v>
      </c>
      <c r="AD4" s="15">
        <f t="shared" ref="AD4:AD28" si="0">AB4/AC4</f>
        <v>1.6033333333333333</v>
      </c>
      <c r="AE4" s="15">
        <f t="shared" ref="AE4:AE28" si="1">AD4-1</f>
        <v>0.60333333333333328</v>
      </c>
      <c r="AF4" s="15">
        <v>764.89099999999996</v>
      </c>
      <c r="AG4" s="15">
        <v>500</v>
      </c>
      <c r="AH4" s="15">
        <f t="shared" ref="AH4:AH8" si="2">AF4/AG4</f>
        <v>1.529782</v>
      </c>
      <c r="AI4" s="15">
        <f t="shared" ref="AI4:AI8" si="3">AH4-1</f>
        <v>0.52978199999999998</v>
      </c>
      <c r="AJ4" s="15">
        <v>76.02</v>
      </c>
      <c r="AK4" s="15">
        <v>75</v>
      </c>
      <c r="AL4" s="15">
        <f t="shared" ref="AL4:AL8" si="4">AJ4/AK4</f>
        <v>1.0136000000000001</v>
      </c>
      <c r="AM4" s="15">
        <f t="shared" ref="AM4:AM8" si="5">AL4-1</f>
        <v>1.3600000000000056E-2</v>
      </c>
      <c r="AN4" s="15"/>
      <c r="AO4" s="15"/>
      <c r="AP4" s="15"/>
      <c r="AQ4" s="15"/>
      <c r="AR4" s="15"/>
      <c r="AS4" s="15"/>
      <c r="AT4" s="15"/>
      <c r="AU4" s="15"/>
      <c r="AV4" s="15">
        <v>146.80000000000001</v>
      </c>
      <c r="AW4" s="15">
        <v>80</v>
      </c>
      <c r="AX4" s="15">
        <f t="shared" ref="AX4:AX27" si="6">AV4/AW4</f>
        <v>1.8350000000000002</v>
      </c>
      <c r="AY4" s="15">
        <f t="shared" ref="AY4:AY27" si="7">AX4-1</f>
        <v>0.83500000000000019</v>
      </c>
      <c r="AZ4" s="20">
        <v>9.1280000000000001</v>
      </c>
      <c r="BA4" s="15">
        <v>5</v>
      </c>
      <c r="BB4" s="15">
        <f t="shared" ref="BB4:BB8" si="8">AZ4/BA4</f>
        <v>1.8256000000000001</v>
      </c>
      <c r="BC4" s="15">
        <f t="shared" ref="BC4:BC8" si="9">BB4-1</f>
        <v>0.82560000000000011</v>
      </c>
      <c r="BD4" s="15">
        <v>18.100000000000001</v>
      </c>
      <c r="BE4" s="15">
        <v>0.75</v>
      </c>
      <c r="BF4" s="15">
        <f t="shared" ref="BF4:BF10" si="10">BD4/BE4</f>
        <v>24.133333333333336</v>
      </c>
      <c r="BG4" s="15">
        <f t="shared" ref="BG4:BG10" si="11">BF4-1</f>
        <v>23.133333333333336</v>
      </c>
      <c r="BH4" s="15">
        <v>2.4</v>
      </c>
      <c r="BI4" s="15">
        <v>0.18</v>
      </c>
      <c r="BJ4" s="15">
        <f t="shared" ref="BJ4:BJ18" si="12">BH4/BI4</f>
        <v>13.333333333333334</v>
      </c>
      <c r="BK4" s="15">
        <f t="shared" ref="BK4:BK18" si="13">BJ4-1</f>
        <v>12.333333333333334</v>
      </c>
    </row>
    <row r="5" spans="1:63" x14ac:dyDescent="0.25">
      <c r="A5" s="8">
        <v>42914</v>
      </c>
      <c r="B5" s="9">
        <v>6.4</v>
      </c>
      <c r="C5" s="9">
        <v>33.299999999999997</v>
      </c>
      <c r="D5" s="9">
        <v>194.79999999999998</v>
      </c>
      <c r="E5" s="9">
        <v>21.5</v>
      </c>
      <c r="F5" s="9">
        <v>19.7</v>
      </c>
      <c r="G5" s="9">
        <v>12.1</v>
      </c>
      <c r="H5" s="9">
        <v>109.6</v>
      </c>
      <c r="I5" s="9">
        <v>0</v>
      </c>
      <c r="J5" s="9">
        <v>0.1</v>
      </c>
      <c r="K5" s="16">
        <v>0</v>
      </c>
      <c r="L5" s="12" t="s">
        <v>37</v>
      </c>
      <c r="M5" s="13">
        <f>COUNTIF(M4:V4,"&gt;0")</f>
        <v>7</v>
      </c>
      <c r="N5" s="13"/>
      <c r="O5" s="13"/>
      <c r="P5" s="13"/>
      <c r="Q5" s="13"/>
      <c r="R5" s="13"/>
      <c r="S5" s="13"/>
      <c r="T5" s="13"/>
      <c r="U5" s="13"/>
      <c r="V5" s="14"/>
      <c r="X5" s="15"/>
      <c r="Y5" s="15"/>
      <c r="Z5" s="15"/>
      <c r="AA5" s="15"/>
      <c r="AB5" s="15">
        <v>43.5</v>
      </c>
      <c r="AC5" s="15">
        <v>30</v>
      </c>
      <c r="AD5" s="15">
        <f t="shared" si="0"/>
        <v>1.45</v>
      </c>
      <c r="AE5" s="15">
        <f t="shared" si="1"/>
        <v>0.44999999999999996</v>
      </c>
      <c r="AF5" s="15">
        <v>836</v>
      </c>
      <c r="AG5" s="15">
        <v>500</v>
      </c>
      <c r="AH5" s="15">
        <f t="shared" si="2"/>
        <v>1.6719999999999999</v>
      </c>
      <c r="AI5" s="15">
        <f t="shared" si="3"/>
        <v>0.67199999999999993</v>
      </c>
      <c r="AJ5" s="15">
        <v>82.1</v>
      </c>
      <c r="AK5" s="15">
        <v>75</v>
      </c>
      <c r="AL5" s="15">
        <f t="shared" si="4"/>
        <v>1.0946666666666667</v>
      </c>
      <c r="AM5" s="15">
        <f t="shared" si="5"/>
        <v>9.4666666666666677E-2</v>
      </c>
      <c r="AN5" s="15"/>
      <c r="AO5" s="15"/>
      <c r="AP5" s="15"/>
      <c r="AQ5" s="15"/>
      <c r="AR5" s="15"/>
      <c r="AS5" s="15"/>
      <c r="AT5" s="15"/>
      <c r="AU5" s="15"/>
      <c r="AV5" s="15">
        <v>155.69999999999999</v>
      </c>
      <c r="AW5" s="15">
        <v>80</v>
      </c>
      <c r="AX5" s="15">
        <f t="shared" si="6"/>
        <v>1.9462499999999998</v>
      </c>
      <c r="AY5" s="15">
        <f t="shared" si="7"/>
        <v>0.94624999999999981</v>
      </c>
      <c r="AZ5" s="20">
        <v>8.6199999999999992</v>
      </c>
      <c r="BA5" s="15">
        <v>5</v>
      </c>
      <c r="BB5" s="15">
        <f t="shared" si="8"/>
        <v>1.7239999999999998</v>
      </c>
      <c r="BC5" s="15">
        <f t="shared" si="9"/>
        <v>0.72399999999999975</v>
      </c>
      <c r="BD5" s="15">
        <v>2.72</v>
      </c>
      <c r="BE5" s="15">
        <v>0.75</v>
      </c>
      <c r="BF5" s="15">
        <f t="shared" si="10"/>
        <v>3.6266666666666669</v>
      </c>
      <c r="BG5" s="15">
        <f t="shared" si="11"/>
        <v>2.6266666666666669</v>
      </c>
      <c r="BH5" s="15">
        <v>0.33</v>
      </c>
      <c r="BI5" s="15">
        <v>0.18</v>
      </c>
      <c r="BJ5" s="15">
        <f t="shared" si="12"/>
        <v>1.8333333333333335</v>
      </c>
      <c r="BK5" s="15">
        <f t="shared" si="13"/>
        <v>0.83333333333333348</v>
      </c>
    </row>
    <row r="6" spans="1:63" x14ac:dyDescent="0.25">
      <c r="A6" s="8">
        <v>42944</v>
      </c>
      <c r="B6" s="9">
        <v>6.6</v>
      </c>
      <c r="C6" s="9">
        <v>48.1</v>
      </c>
      <c r="D6" s="9">
        <v>165.88000000000002</v>
      </c>
      <c r="E6" s="9">
        <v>8.4</v>
      </c>
      <c r="F6" s="9">
        <v>6.9</v>
      </c>
      <c r="G6" s="9">
        <v>8.6</v>
      </c>
      <c r="H6" s="9">
        <v>14.4</v>
      </c>
      <c r="I6" s="9">
        <v>0.22</v>
      </c>
      <c r="J6" s="9">
        <v>18.100000000000001</v>
      </c>
      <c r="K6" s="16">
        <v>2.4</v>
      </c>
      <c r="L6" s="12" t="s">
        <v>19</v>
      </c>
      <c r="M6" s="13">
        <f>COUNT(M3:V3)</f>
        <v>10</v>
      </c>
      <c r="N6" s="13"/>
      <c r="O6" s="13"/>
      <c r="P6" s="13"/>
      <c r="Q6" s="13"/>
      <c r="R6" s="13"/>
      <c r="S6" s="13"/>
      <c r="T6" s="13"/>
      <c r="U6" s="13"/>
      <c r="V6" s="14"/>
      <c r="X6" s="15"/>
      <c r="Y6" s="15"/>
      <c r="Z6" s="15"/>
      <c r="AA6" s="15"/>
      <c r="AB6" s="15">
        <v>49.6</v>
      </c>
      <c r="AC6" s="15">
        <v>30</v>
      </c>
      <c r="AD6" s="15">
        <f t="shared" si="0"/>
        <v>1.6533333333333333</v>
      </c>
      <c r="AE6" s="15">
        <f t="shared" si="1"/>
        <v>0.65333333333333332</v>
      </c>
      <c r="AF6" s="15">
        <v>890</v>
      </c>
      <c r="AG6" s="15">
        <v>500</v>
      </c>
      <c r="AH6" s="15">
        <f t="shared" si="2"/>
        <v>1.78</v>
      </c>
      <c r="AI6" s="15">
        <f t="shared" si="3"/>
        <v>0.78</v>
      </c>
      <c r="AJ6" s="15">
        <v>98.6</v>
      </c>
      <c r="AK6" s="15">
        <v>75</v>
      </c>
      <c r="AL6" s="15">
        <f t="shared" si="4"/>
        <v>1.3146666666666667</v>
      </c>
      <c r="AM6" s="15">
        <f t="shared" si="5"/>
        <v>0.31466666666666665</v>
      </c>
      <c r="AN6" s="15"/>
      <c r="AO6" s="15"/>
      <c r="AP6" s="15"/>
      <c r="AQ6" s="15"/>
      <c r="AR6" s="15"/>
      <c r="AS6" s="15"/>
      <c r="AT6" s="15"/>
      <c r="AU6" s="15"/>
      <c r="AV6" s="15">
        <v>101.6</v>
      </c>
      <c r="AW6" s="15">
        <v>80</v>
      </c>
      <c r="AX6" s="15">
        <f t="shared" si="6"/>
        <v>1.27</v>
      </c>
      <c r="AY6" s="15">
        <f t="shared" si="7"/>
        <v>0.27</v>
      </c>
      <c r="AZ6" s="20">
        <v>9.5</v>
      </c>
      <c r="BA6" s="15">
        <v>5</v>
      </c>
      <c r="BB6" s="15">
        <f t="shared" si="8"/>
        <v>1.9</v>
      </c>
      <c r="BC6" s="15">
        <f t="shared" si="9"/>
        <v>0.89999999999999991</v>
      </c>
      <c r="BD6" s="15">
        <v>2.82</v>
      </c>
      <c r="BE6" s="15">
        <v>0.75</v>
      </c>
      <c r="BF6" s="15">
        <f t="shared" si="10"/>
        <v>3.76</v>
      </c>
      <c r="BG6" s="15">
        <f t="shared" si="11"/>
        <v>2.76</v>
      </c>
      <c r="BH6" s="15">
        <v>0.2</v>
      </c>
      <c r="BI6" s="15">
        <v>0.18</v>
      </c>
      <c r="BJ6" s="15">
        <f t="shared" si="12"/>
        <v>1.1111111111111112</v>
      </c>
      <c r="BK6" s="15">
        <f t="shared" si="13"/>
        <v>0.11111111111111116</v>
      </c>
    </row>
    <row r="7" spans="1:63" x14ac:dyDescent="0.25">
      <c r="A7" s="8">
        <v>42975</v>
      </c>
      <c r="B7" s="9">
        <v>6.7</v>
      </c>
      <c r="C7" s="9">
        <v>43.5</v>
      </c>
      <c r="D7" s="9">
        <v>252.38000000000002</v>
      </c>
      <c r="E7" s="9">
        <v>25.6</v>
      </c>
      <c r="F7" s="9">
        <v>25.6</v>
      </c>
      <c r="G7" s="9">
        <v>13.5</v>
      </c>
      <c r="H7" s="9">
        <v>146.80000000000001</v>
      </c>
      <c r="I7" s="9">
        <v>0.14000000000000001</v>
      </c>
      <c r="J7" s="9">
        <v>0.1</v>
      </c>
      <c r="K7" s="16">
        <v>0</v>
      </c>
      <c r="L7" s="12" t="s">
        <v>20</v>
      </c>
      <c r="M7" s="13">
        <f>COUNT(B3:K32)</f>
        <v>300</v>
      </c>
      <c r="N7" s="13"/>
      <c r="O7" s="13"/>
      <c r="P7" s="13"/>
      <c r="Q7" s="13"/>
      <c r="R7" s="13"/>
      <c r="S7" s="13"/>
      <c r="T7" s="13"/>
      <c r="U7" s="13"/>
      <c r="V7" s="14"/>
      <c r="X7" s="15"/>
      <c r="Y7" s="15"/>
      <c r="Z7" s="15"/>
      <c r="AA7" s="15"/>
      <c r="AB7" s="15">
        <v>33.6</v>
      </c>
      <c r="AC7" s="15">
        <v>30</v>
      </c>
      <c r="AD7" s="15">
        <f t="shared" si="0"/>
        <v>1.1200000000000001</v>
      </c>
      <c r="AE7" s="15">
        <f t="shared" si="1"/>
        <v>0.12000000000000011</v>
      </c>
      <c r="AF7" s="15">
        <v>984</v>
      </c>
      <c r="AG7" s="15">
        <v>500</v>
      </c>
      <c r="AH7" s="15">
        <f t="shared" si="2"/>
        <v>1.968</v>
      </c>
      <c r="AI7" s="15">
        <f t="shared" si="3"/>
        <v>0.96799999999999997</v>
      </c>
      <c r="AJ7" s="15">
        <v>101</v>
      </c>
      <c r="AK7" s="15">
        <v>75</v>
      </c>
      <c r="AL7" s="15">
        <f t="shared" si="4"/>
        <v>1.3466666666666667</v>
      </c>
      <c r="AM7" s="15">
        <f t="shared" si="5"/>
        <v>0.34666666666666668</v>
      </c>
      <c r="AN7" s="15"/>
      <c r="AO7" s="15"/>
      <c r="AP7" s="15"/>
      <c r="AQ7" s="15"/>
      <c r="AR7" s="15"/>
      <c r="AS7" s="15"/>
      <c r="AT7" s="15"/>
      <c r="AU7" s="15"/>
      <c r="AV7" s="15">
        <v>119.9</v>
      </c>
      <c r="AW7" s="15">
        <v>80</v>
      </c>
      <c r="AX7" s="15">
        <f t="shared" si="6"/>
        <v>1.49875</v>
      </c>
      <c r="AY7" s="15">
        <f t="shared" si="7"/>
        <v>0.49875000000000003</v>
      </c>
      <c r="AZ7" s="20">
        <v>8.39</v>
      </c>
      <c r="BA7" s="15">
        <v>5</v>
      </c>
      <c r="BB7" s="15">
        <f t="shared" si="8"/>
        <v>1.6780000000000002</v>
      </c>
      <c r="BC7" s="15">
        <f t="shared" si="9"/>
        <v>0.67800000000000016</v>
      </c>
      <c r="BD7" s="15">
        <v>9.57</v>
      </c>
      <c r="BE7" s="15">
        <v>0.75</v>
      </c>
      <c r="BF7" s="15">
        <f t="shared" si="10"/>
        <v>12.76</v>
      </c>
      <c r="BG7" s="15">
        <f t="shared" si="11"/>
        <v>11.76</v>
      </c>
      <c r="BH7" s="15">
        <v>0.24</v>
      </c>
      <c r="BI7" s="15">
        <v>0.18</v>
      </c>
      <c r="BJ7" s="15">
        <f t="shared" si="12"/>
        <v>1.3333333333333333</v>
      </c>
      <c r="BK7" s="15">
        <f t="shared" si="13"/>
        <v>0.33333333333333326</v>
      </c>
    </row>
    <row r="8" spans="1:63" x14ac:dyDescent="0.25">
      <c r="A8" s="8">
        <v>43006</v>
      </c>
      <c r="B8" s="9">
        <v>6.9</v>
      </c>
      <c r="C8" s="9">
        <v>49.6</v>
      </c>
      <c r="D8" s="9">
        <v>192.7</v>
      </c>
      <c r="E8" s="9">
        <v>31.9</v>
      </c>
      <c r="F8" s="9">
        <v>30.7</v>
      </c>
      <c r="G8" s="9">
        <v>17.7</v>
      </c>
      <c r="H8" s="9">
        <v>155.69999999999999</v>
      </c>
      <c r="I8" s="17">
        <v>0.06</v>
      </c>
      <c r="J8" s="17">
        <v>0.1</v>
      </c>
      <c r="K8" s="18">
        <v>0</v>
      </c>
      <c r="L8" s="19" t="s">
        <v>21</v>
      </c>
      <c r="M8" s="13">
        <f>SUM(M4:V4)</f>
        <v>93</v>
      </c>
      <c r="N8" s="13"/>
      <c r="O8" s="13"/>
      <c r="P8" s="13"/>
      <c r="Q8" s="13"/>
      <c r="R8" s="13"/>
      <c r="S8" s="13"/>
      <c r="T8" s="13"/>
      <c r="U8" s="13"/>
      <c r="V8" s="14"/>
      <c r="X8" s="15"/>
      <c r="Y8" s="15"/>
      <c r="Z8" s="15"/>
      <c r="AA8" s="15"/>
      <c r="AB8" s="15">
        <v>38.5</v>
      </c>
      <c r="AC8" s="15">
        <v>30</v>
      </c>
      <c r="AD8" s="15">
        <f t="shared" si="0"/>
        <v>1.2833333333333334</v>
      </c>
      <c r="AE8" s="15">
        <f t="shared" si="1"/>
        <v>0.28333333333333344</v>
      </c>
      <c r="AF8" s="15">
        <v>1120</v>
      </c>
      <c r="AG8" s="15">
        <v>500</v>
      </c>
      <c r="AH8" s="15">
        <f t="shared" si="2"/>
        <v>2.2400000000000002</v>
      </c>
      <c r="AI8" s="15">
        <f t="shared" si="3"/>
        <v>1.2400000000000002</v>
      </c>
      <c r="AJ8" s="15">
        <v>148</v>
      </c>
      <c r="AK8" s="15">
        <v>75</v>
      </c>
      <c r="AL8" s="15">
        <f t="shared" si="4"/>
        <v>1.9733333333333334</v>
      </c>
      <c r="AM8" s="15">
        <f t="shared" si="5"/>
        <v>0.97333333333333338</v>
      </c>
      <c r="AN8" s="15"/>
      <c r="AO8" s="15"/>
      <c r="AP8" s="15"/>
      <c r="AQ8" s="15"/>
      <c r="AR8" s="15"/>
      <c r="AS8" s="15"/>
      <c r="AT8" s="15"/>
      <c r="AU8" s="15"/>
      <c r="AV8" s="15">
        <v>145.19999999999999</v>
      </c>
      <c r="AW8" s="15">
        <v>80</v>
      </c>
      <c r="AX8" s="15">
        <f t="shared" si="6"/>
        <v>1.8149999999999999</v>
      </c>
      <c r="AY8" s="15">
        <f t="shared" si="7"/>
        <v>0.81499999999999995</v>
      </c>
      <c r="AZ8" s="20">
        <v>6.22</v>
      </c>
      <c r="BA8" s="15">
        <v>5</v>
      </c>
      <c r="BB8" s="15">
        <f t="shared" si="8"/>
        <v>1.244</v>
      </c>
      <c r="BC8" s="15">
        <f t="shared" si="9"/>
        <v>0.24399999999999999</v>
      </c>
      <c r="BD8" s="15">
        <v>4.53</v>
      </c>
      <c r="BE8" s="15">
        <v>0.75</v>
      </c>
      <c r="BF8" s="15">
        <f t="shared" si="10"/>
        <v>6.04</v>
      </c>
      <c r="BG8" s="15">
        <f t="shared" si="11"/>
        <v>5.04</v>
      </c>
      <c r="BH8" s="15">
        <v>7.4459999999999997</v>
      </c>
      <c r="BI8" s="15">
        <v>0.18</v>
      </c>
      <c r="BJ8" s="15">
        <f t="shared" si="12"/>
        <v>41.366666666666667</v>
      </c>
      <c r="BK8" s="15">
        <f t="shared" si="13"/>
        <v>40.366666666666667</v>
      </c>
    </row>
    <row r="9" spans="1:63" x14ac:dyDescent="0.25">
      <c r="A9" s="21">
        <v>43218</v>
      </c>
      <c r="B9" s="15">
        <v>6.72</v>
      </c>
      <c r="C9" s="15">
        <v>29.01</v>
      </c>
      <c r="D9" s="15">
        <v>95.429999999999993</v>
      </c>
      <c r="E9" s="15">
        <v>15</v>
      </c>
      <c r="F9" s="15">
        <v>14.1</v>
      </c>
      <c r="G9" s="15">
        <v>11.7</v>
      </c>
      <c r="H9" s="15">
        <v>74.7</v>
      </c>
      <c r="I9" s="15">
        <v>-0.05</v>
      </c>
      <c r="J9" s="15">
        <v>0.13</v>
      </c>
      <c r="K9" s="22">
        <v>-0.05</v>
      </c>
      <c r="L9" s="19" t="s">
        <v>22</v>
      </c>
      <c r="M9" s="13">
        <f>SUM(AE3:AE28,AI3:AI8,AM3:AM8,AY3:AY27,BC3:BC8,BG3:BG10,BK3:BK18)</f>
        <v>497.53849122000008</v>
      </c>
      <c r="N9" s="13"/>
      <c r="O9" s="13"/>
      <c r="P9" s="13"/>
      <c r="Q9" s="13"/>
      <c r="R9" s="13"/>
      <c r="S9" s="13"/>
      <c r="T9" s="13"/>
      <c r="U9" s="13"/>
      <c r="V9" s="14"/>
      <c r="X9" s="15"/>
      <c r="Y9" s="15"/>
      <c r="Z9" s="15"/>
      <c r="AA9" s="15"/>
      <c r="AB9" s="15">
        <v>43</v>
      </c>
      <c r="AC9" s="15">
        <v>30</v>
      </c>
      <c r="AD9" s="15">
        <f t="shared" si="0"/>
        <v>1.4333333333333333</v>
      </c>
      <c r="AE9" s="15">
        <f t="shared" si="1"/>
        <v>0.43333333333333335</v>
      </c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>
        <v>183</v>
      </c>
      <c r="AW9" s="15">
        <v>80</v>
      </c>
      <c r="AX9" s="15">
        <f t="shared" si="6"/>
        <v>2.2875000000000001</v>
      </c>
      <c r="AY9" s="15">
        <f t="shared" si="7"/>
        <v>1.2875000000000001</v>
      </c>
      <c r="AZ9" s="15"/>
      <c r="BA9" s="15"/>
      <c r="BB9" s="15"/>
      <c r="BC9" s="15"/>
      <c r="BD9" s="15">
        <v>11.2</v>
      </c>
      <c r="BE9" s="15">
        <v>0.75</v>
      </c>
      <c r="BF9" s="15">
        <f t="shared" si="10"/>
        <v>14.933333333333332</v>
      </c>
      <c r="BG9" s="15">
        <f t="shared" si="11"/>
        <v>13.933333333333332</v>
      </c>
      <c r="BH9" s="15">
        <v>7.5979999999999999</v>
      </c>
      <c r="BI9" s="15">
        <v>0.18</v>
      </c>
      <c r="BJ9" s="15">
        <f t="shared" si="12"/>
        <v>42.211111111111109</v>
      </c>
      <c r="BK9" s="15">
        <f t="shared" si="13"/>
        <v>41.211111111111109</v>
      </c>
    </row>
    <row r="10" spans="1:63" x14ac:dyDescent="0.25">
      <c r="A10" s="21">
        <v>43248</v>
      </c>
      <c r="B10" s="15">
        <v>6.4</v>
      </c>
      <c r="C10" s="15">
        <v>28.080000000000002</v>
      </c>
      <c r="D10" s="15">
        <v>78.139999999999986</v>
      </c>
      <c r="E10" s="15">
        <v>13.4</v>
      </c>
      <c r="F10" s="15">
        <v>13.5</v>
      </c>
      <c r="G10" s="15">
        <v>11.7</v>
      </c>
      <c r="H10" s="15">
        <v>57.8</v>
      </c>
      <c r="I10" s="15">
        <v>0</v>
      </c>
      <c r="J10" s="15">
        <v>0.6</v>
      </c>
      <c r="K10" s="22">
        <v>0</v>
      </c>
      <c r="L10" s="12" t="s">
        <v>23</v>
      </c>
      <c r="M10" s="23">
        <f>M5*100/M6</f>
        <v>70</v>
      </c>
      <c r="N10" s="13"/>
      <c r="O10" s="13"/>
      <c r="P10" s="13"/>
      <c r="Q10" s="13"/>
      <c r="R10" s="13"/>
      <c r="S10" s="13"/>
      <c r="T10" s="13"/>
      <c r="U10" s="13"/>
      <c r="V10" s="14"/>
      <c r="X10" s="15"/>
      <c r="Y10" s="15"/>
      <c r="Z10" s="15"/>
      <c r="AA10" s="15"/>
      <c r="AB10" s="15">
        <v>51.4</v>
      </c>
      <c r="AC10" s="15">
        <v>30</v>
      </c>
      <c r="AD10" s="15">
        <f t="shared" si="0"/>
        <v>1.7133333333333334</v>
      </c>
      <c r="AE10" s="15">
        <f t="shared" si="1"/>
        <v>0.71333333333333337</v>
      </c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>
        <v>104</v>
      </c>
      <c r="AW10" s="15">
        <v>80</v>
      </c>
      <c r="AX10" s="15">
        <f t="shared" si="6"/>
        <v>1.3</v>
      </c>
      <c r="AY10" s="15">
        <f t="shared" si="7"/>
        <v>0.30000000000000004</v>
      </c>
      <c r="AZ10" s="15"/>
      <c r="BA10" s="15"/>
      <c r="BB10" s="15"/>
      <c r="BC10" s="15"/>
      <c r="BD10" s="15">
        <v>7.33</v>
      </c>
      <c r="BE10" s="15">
        <v>0.75</v>
      </c>
      <c r="BF10" s="15">
        <f t="shared" si="10"/>
        <v>9.7733333333333334</v>
      </c>
      <c r="BG10" s="15">
        <f t="shared" si="11"/>
        <v>8.7733333333333334</v>
      </c>
      <c r="BH10" s="15">
        <v>8.3000000000000007</v>
      </c>
      <c r="BI10" s="15">
        <v>0.18</v>
      </c>
      <c r="BJ10" s="15">
        <f t="shared" si="12"/>
        <v>46.111111111111114</v>
      </c>
      <c r="BK10" s="15">
        <f t="shared" si="13"/>
        <v>45.111111111111114</v>
      </c>
    </row>
    <row r="11" spans="1:63" x14ac:dyDescent="0.25">
      <c r="A11" s="21">
        <v>43279</v>
      </c>
      <c r="B11" s="15">
        <v>6.61</v>
      </c>
      <c r="C11" s="15">
        <v>33.6</v>
      </c>
      <c r="D11" s="15">
        <v>124.19</v>
      </c>
      <c r="E11" s="15">
        <v>18.899999999999999</v>
      </c>
      <c r="F11" s="15">
        <v>18</v>
      </c>
      <c r="G11" s="15">
        <v>11.4</v>
      </c>
      <c r="H11" s="15">
        <v>101.6</v>
      </c>
      <c r="I11" s="15">
        <v>-0.05</v>
      </c>
      <c r="J11" s="15">
        <v>-0.05</v>
      </c>
      <c r="K11" s="22">
        <v>-0.05</v>
      </c>
      <c r="L11" s="12" t="s">
        <v>24</v>
      </c>
      <c r="M11" s="23">
        <f>M8*100/M7</f>
        <v>31</v>
      </c>
      <c r="N11" s="13"/>
      <c r="O11" s="13"/>
      <c r="P11" s="13"/>
      <c r="Q11" s="13"/>
      <c r="R11" s="13"/>
      <c r="S11" s="13"/>
      <c r="T11" s="13"/>
      <c r="U11" s="13"/>
      <c r="V11" s="14"/>
      <c r="X11" s="15"/>
      <c r="Y11" s="15"/>
      <c r="Z11" s="15"/>
      <c r="AA11" s="15"/>
      <c r="AB11" s="15">
        <v>42.9</v>
      </c>
      <c r="AC11" s="15">
        <v>30</v>
      </c>
      <c r="AD11" s="15">
        <f t="shared" si="0"/>
        <v>1.43</v>
      </c>
      <c r="AE11" s="15">
        <f t="shared" si="1"/>
        <v>0.42999999999999994</v>
      </c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>
        <v>108</v>
      </c>
      <c r="AW11" s="15">
        <v>80</v>
      </c>
      <c r="AX11" s="15">
        <f t="shared" si="6"/>
        <v>1.35</v>
      </c>
      <c r="AY11" s="15">
        <f t="shared" si="7"/>
        <v>0.35000000000000009</v>
      </c>
      <c r="AZ11" s="15"/>
      <c r="BA11" s="15"/>
      <c r="BB11" s="15"/>
      <c r="BC11" s="15"/>
      <c r="BD11" s="15"/>
      <c r="BE11" s="15"/>
      <c r="BF11" s="15"/>
      <c r="BG11" s="15"/>
      <c r="BH11" s="15">
        <v>8.9600000000000009</v>
      </c>
      <c r="BI11" s="15">
        <v>0.18</v>
      </c>
      <c r="BJ11" s="15">
        <f t="shared" si="12"/>
        <v>49.777777777777786</v>
      </c>
      <c r="BK11" s="15">
        <f t="shared" si="13"/>
        <v>48.777777777777786</v>
      </c>
    </row>
    <row r="12" spans="1:63" x14ac:dyDescent="0.25">
      <c r="A12" s="21">
        <v>43309</v>
      </c>
      <c r="B12" s="15">
        <v>6.73</v>
      </c>
      <c r="C12" s="15">
        <v>38.5</v>
      </c>
      <c r="D12" s="15">
        <v>149.44999999999999</v>
      </c>
      <c r="E12" s="15">
        <v>25.5</v>
      </c>
      <c r="F12" s="15">
        <v>24.6</v>
      </c>
      <c r="G12" s="15">
        <v>14.4</v>
      </c>
      <c r="H12" s="15">
        <v>119.9</v>
      </c>
      <c r="I12" s="15">
        <v>-0.05</v>
      </c>
      <c r="J12" s="15">
        <v>-0.05</v>
      </c>
      <c r="K12" s="22">
        <v>-0.05</v>
      </c>
      <c r="L12" s="12" t="s">
        <v>25</v>
      </c>
      <c r="M12" s="13">
        <f>M9/M7</f>
        <v>1.6584616374000003</v>
      </c>
      <c r="N12" s="13"/>
      <c r="O12" s="13"/>
      <c r="P12" s="13"/>
      <c r="Q12" s="13"/>
      <c r="R12" s="13"/>
      <c r="S12" s="13"/>
      <c r="T12" s="13"/>
      <c r="U12" s="13"/>
      <c r="V12" s="14"/>
      <c r="X12" s="15"/>
      <c r="Y12" s="15"/>
      <c r="Z12" s="15"/>
      <c r="AA12" s="15"/>
      <c r="AB12" s="15">
        <v>42.4</v>
      </c>
      <c r="AC12" s="15">
        <v>30</v>
      </c>
      <c r="AD12" s="15">
        <f t="shared" si="0"/>
        <v>1.4133333333333333</v>
      </c>
      <c r="AE12" s="15">
        <f t="shared" si="1"/>
        <v>0.41333333333333333</v>
      </c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>
        <v>122</v>
      </c>
      <c r="AW12" s="15">
        <v>80</v>
      </c>
      <c r="AX12" s="15">
        <f t="shared" si="6"/>
        <v>1.5249999999999999</v>
      </c>
      <c r="AY12" s="15">
        <f t="shared" si="7"/>
        <v>0.52499999999999991</v>
      </c>
      <c r="AZ12" s="15"/>
      <c r="BA12" s="15"/>
      <c r="BB12" s="15"/>
      <c r="BC12" s="15"/>
      <c r="BD12" s="15"/>
      <c r="BE12" s="15"/>
      <c r="BF12" s="15"/>
      <c r="BG12" s="15"/>
      <c r="BH12" s="15">
        <v>9.15</v>
      </c>
      <c r="BI12" s="15">
        <v>0.18</v>
      </c>
      <c r="BJ12" s="15">
        <f t="shared" si="12"/>
        <v>50.833333333333336</v>
      </c>
      <c r="BK12" s="15">
        <f t="shared" si="13"/>
        <v>49.833333333333336</v>
      </c>
    </row>
    <row r="13" spans="1:63" x14ac:dyDescent="0.25">
      <c r="A13" s="21">
        <v>43340</v>
      </c>
      <c r="B13" s="15">
        <v>6.82</v>
      </c>
      <c r="C13" s="15">
        <v>43</v>
      </c>
      <c r="D13" s="15">
        <v>174.14999999999998</v>
      </c>
      <c r="E13" s="15">
        <v>23.4</v>
      </c>
      <c r="F13" s="15">
        <v>22.8</v>
      </c>
      <c r="G13" s="15">
        <v>14.9</v>
      </c>
      <c r="H13" s="15">
        <v>145.19999999999999</v>
      </c>
      <c r="I13" s="15">
        <v>-0.05</v>
      </c>
      <c r="J13" s="15">
        <v>0.11</v>
      </c>
      <c r="K13" s="22">
        <v>-0.05</v>
      </c>
      <c r="L13" s="19" t="s">
        <v>26</v>
      </c>
      <c r="M13" s="23">
        <f>M12/(0.01*(M12+1))</f>
        <v>62.384260659182992</v>
      </c>
      <c r="N13" s="13"/>
      <c r="O13" s="13"/>
      <c r="P13" s="13"/>
      <c r="Q13" s="13"/>
      <c r="R13" s="13"/>
      <c r="S13" s="13"/>
      <c r="T13" s="13"/>
      <c r="U13" s="13"/>
      <c r="V13" s="14"/>
      <c r="X13" s="15"/>
      <c r="Y13" s="15"/>
      <c r="Z13" s="15"/>
      <c r="AA13" s="15"/>
      <c r="AB13" s="15">
        <v>45.8</v>
      </c>
      <c r="AC13" s="15">
        <v>30</v>
      </c>
      <c r="AD13" s="15">
        <f t="shared" si="0"/>
        <v>1.5266666666666666</v>
      </c>
      <c r="AE13" s="15">
        <f t="shared" si="1"/>
        <v>0.52666666666666662</v>
      </c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>
        <v>137</v>
      </c>
      <c r="AW13" s="15">
        <v>80</v>
      </c>
      <c r="AX13" s="15">
        <f t="shared" si="6"/>
        <v>1.7124999999999999</v>
      </c>
      <c r="AY13" s="15">
        <f t="shared" si="7"/>
        <v>0.71249999999999991</v>
      </c>
      <c r="AZ13" s="15"/>
      <c r="BA13" s="15"/>
      <c r="BB13" s="15"/>
      <c r="BC13" s="15"/>
      <c r="BD13" s="15"/>
      <c r="BE13" s="15"/>
      <c r="BF13" s="15"/>
      <c r="BG13" s="15"/>
      <c r="BH13" s="15">
        <v>9.0299999999999994</v>
      </c>
      <c r="BI13" s="15">
        <v>0.18</v>
      </c>
      <c r="BJ13" s="15">
        <f t="shared" si="12"/>
        <v>50.166666666666664</v>
      </c>
      <c r="BK13" s="15">
        <f t="shared" si="13"/>
        <v>49.166666666666664</v>
      </c>
    </row>
    <row r="14" spans="1:63" ht="15.75" thickBot="1" x14ac:dyDescent="0.3">
      <c r="A14" s="21">
        <v>43370</v>
      </c>
      <c r="B14" s="15">
        <v>6.63</v>
      </c>
      <c r="C14" s="15">
        <v>51.4</v>
      </c>
      <c r="D14" s="15">
        <v>334</v>
      </c>
      <c r="E14" s="15">
        <v>32.700000000000003</v>
      </c>
      <c r="F14" s="15">
        <v>30.2</v>
      </c>
      <c r="G14" s="15">
        <v>20.100000000000001</v>
      </c>
      <c r="H14" s="15">
        <v>183</v>
      </c>
      <c r="I14" s="15">
        <v>0.12</v>
      </c>
      <c r="J14" s="15">
        <v>0.28000000000000003</v>
      </c>
      <c r="K14" s="22">
        <v>0.01</v>
      </c>
      <c r="L14" s="24" t="s">
        <v>27</v>
      </c>
      <c r="M14" s="25">
        <f>100-SQRT(M10^2+M11^2+M13^2)/1.732</f>
        <v>42.981382643933685</v>
      </c>
      <c r="N14" s="26"/>
      <c r="O14" s="26"/>
      <c r="P14" s="26"/>
      <c r="Q14" s="26"/>
      <c r="R14" s="26"/>
      <c r="S14" s="26"/>
      <c r="T14" s="26"/>
      <c r="U14" s="26"/>
      <c r="V14" s="27"/>
      <c r="X14" s="15"/>
      <c r="Y14" s="15"/>
      <c r="Z14" s="15"/>
      <c r="AA14" s="15"/>
      <c r="AB14" s="15">
        <v>48.3</v>
      </c>
      <c r="AC14" s="15">
        <v>30</v>
      </c>
      <c r="AD14" s="15">
        <f t="shared" si="0"/>
        <v>1.6099999999999999</v>
      </c>
      <c r="AE14" s="15">
        <f t="shared" si="1"/>
        <v>0.60999999999999988</v>
      </c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>
        <v>168</v>
      </c>
      <c r="AW14" s="15">
        <v>80</v>
      </c>
      <c r="AX14" s="15">
        <f t="shared" si="6"/>
        <v>2.1</v>
      </c>
      <c r="AY14" s="15">
        <f t="shared" si="7"/>
        <v>1.1000000000000001</v>
      </c>
      <c r="AZ14" s="15"/>
      <c r="BA14" s="15"/>
      <c r="BB14" s="15"/>
      <c r="BC14" s="15"/>
      <c r="BD14" s="15"/>
      <c r="BE14" s="15"/>
      <c r="BF14" s="15"/>
      <c r="BG14" s="15"/>
      <c r="BH14" s="15">
        <v>1.25</v>
      </c>
      <c r="BI14" s="15">
        <v>0.18</v>
      </c>
      <c r="BJ14" s="15">
        <f t="shared" si="12"/>
        <v>6.9444444444444446</v>
      </c>
      <c r="BK14" s="15">
        <f t="shared" si="13"/>
        <v>5.9444444444444446</v>
      </c>
    </row>
    <row r="15" spans="1:63" x14ac:dyDescent="0.25">
      <c r="A15" s="8">
        <v>43585</v>
      </c>
      <c r="B15" s="28">
        <v>6.7</v>
      </c>
      <c r="C15" s="28">
        <v>42.9</v>
      </c>
      <c r="D15" s="28">
        <v>250</v>
      </c>
      <c r="E15" s="28">
        <v>25.6</v>
      </c>
      <c r="F15" s="28">
        <v>23.1</v>
      </c>
      <c r="G15" s="28">
        <v>17.899999999999999</v>
      </c>
      <c r="H15" s="28">
        <v>104</v>
      </c>
      <c r="I15" s="28">
        <v>0.01</v>
      </c>
      <c r="J15" s="28">
        <v>0.16</v>
      </c>
      <c r="K15" s="29">
        <v>0.12</v>
      </c>
      <c r="L15" s="5" t="s">
        <v>12</v>
      </c>
      <c r="M15" s="6" t="s">
        <v>2</v>
      </c>
      <c r="N15" s="6" t="s">
        <v>3</v>
      </c>
      <c r="O15" s="6" t="s">
        <v>4</v>
      </c>
      <c r="P15" s="6" t="s">
        <v>5</v>
      </c>
      <c r="Q15" s="6" t="s">
        <v>6</v>
      </c>
      <c r="R15" s="6" t="s">
        <v>7</v>
      </c>
      <c r="S15" s="6" t="s">
        <v>8</v>
      </c>
      <c r="T15" s="6" t="s">
        <v>9</v>
      </c>
      <c r="U15" s="6" t="s">
        <v>10</v>
      </c>
      <c r="V15" s="7" t="s">
        <v>11</v>
      </c>
      <c r="X15" s="15"/>
      <c r="Y15" s="15"/>
      <c r="Z15" s="15"/>
      <c r="AA15" s="15"/>
      <c r="AB15" s="15">
        <v>52.6</v>
      </c>
      <c r="AC15" s="15">
        <v>30</v>
      </c>
      <c r="AD15" s="15">
        <f t="shared" si="0"/>
        <v>1.7533333333333334</v>
      </c>
      <c r="AE15" s="15">
        <f t="shared" si="1"/>
        <v>0.75333333333333341</v>
      </c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>
        <v>193</v>
      </c>
      <c r="AW15" s="15">
        <v>80</v>
      </c>
      <c r="AX15" s="15">
        <f t="shared" si="6"/>
        <v>2.4125000000000001</v>
      </c>
      <c r="AY15" s="15">
        <f t="shared" si="7"/>
        <v>1.4125000000000001</v>
      </c>
      <c r="AZ15" s="15"/>
      <c r="BA15" s="15"/>
      <c r="BB15" s="15"/>
      <c r="BC15" s="15"/>
      <c r="BD15" s="15"/>
      <c r="BE15" s="15"/>
      <c r="BF15" s="15"/>
      <c r="BG15" s="15"/>
      <c r="BH15" s="15">
        <v>1.1100000000000001</v>
      </c>
      <c r="BI15" s="15">
        <v>0.18</v>
      </c>
      <c r="BJ15" s="15">
        <f t="shared" si="12"/>
        <v>6.1666666666666679</v>
      </c>
      <c r="BK15" s="15">
        <f t="shared" si="13"/>
        <v>5.1666666666666679</v>
      </c>
    </row>
    <row r="16" spans="1:63" x14ac:dyDescent="0.25">
      <c r="A16" s="8">
        <v>43613</v>
      </c>
      <c r="B16" s="9">
        <v>7.04</v>
      </c>
      <c r="C16" s="9">
        <v>42.4</v>
      </c>
      <c r="D16" s="9">
        <v>250</v>
      </c>
      <c r="E16" s="9">
        <v>24.8</v>
      </c>
      <c r="F16" s="9">
        <v>22.2</v>
      </c>
      <c r="G16" s="9">
        <v>16.600000000000001</v>
      </c>
      <c r="H16" s="9">
        <v>108</v>
      </c>
      <c r="I16" s="9">
        <v>0.02</v>
      </c>
      <c r="J16" s="9">
        <v>0.28999999999999998</v>
      </c>
      <c r="K16" s="16">
        <v>0.16</v>
      </c>
      <c r="L16" s="30" t="s">
        <v>28</v>
      </c>
      <c r="M16" s="13">
        <f>AVERAGE(B3:B32)</f>
        <v>5.8603333333333332</v>
      </c>
      <c r="N16" s="13">
        <f t="shared" ref="N16:U16" si="14">AVERAGE(C3:C32)</f>
        <v>64.038666666666671</v>
      </c>
      <c r="O16" s="13">
        <f t="shared" si="14"/>
        <v>359.13552828205121</v>
      </c>
      <c r="P16" s="13">
        <f t="shared" si="14"/>
        <v>39.392000000000003</v>
      </c>
      <c r="Q16" s="13">
        <f t="shared" si="14"/>
        <v>31.199333333333342</v>
      </c>
      <c r="R16" s="13">
        <f t="shared" si="14"/>
        <v>16.758333333333333</v>
      </c>
      <c r="S16" s="13">
        <f t="shared" si="14"/>
        <v>227.78133333333332</v>
      </c>
      <c r="T16" s="13">
        <f t="shared" si="14"/>
        <v>1.7091333333333332</v>
      </c>
      <c r="U16" s="13">
        <f t="shared" si="14"/>
        <v>2.0450000000000004</v>
      </c>
      <c r="V16" s="14">
        <f>AVERAGE(K3:K32)</f>
        <v>2.0634666666666668</v>
      </c>
      <c r="X16" s="15"/>
      <c r="Y16" s="15"/>
      <c r="Z16" s="15"/>
      <c r="AA16" s="15"/>
      <c r="AB16" s="15">
        <v>62.2</v>
      </c>
      <c r="AC16" s="15">
        <v>30</v>
      </c>
      <c r="AD16" s="15">
        <f t="shared" si="0"/>
        <v>2.0733333333333333</v>
      </c>
      <c r="AE16" s="15">
        <f t="shared" si="1"/>
        <v>1.0733333333333333</v>
      </c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>
        <v>515</v>
      </c>
      <c r="AW16" s="15">
        <v>80</v>
      </c>
      <c r="AX16" s="15">
        <f t="shared" si="6"/>
        <v>6.4375</v>
      </c>
      <c r="AY16" s="15">
        <f t="shared" si="7"/>
        <v>5.4375</v>
      </c>
      <c r="AZ16" s="15"/>
      <c r="BA16" s="15"/>
      <c r="BB16" s="15"/>
      <c r="BC16" s="15"/>
      <c r="BD16" s="15"/>
      <c r="BE16" s="15"/>
      <c r="BF16" s="15"/>
      <c r="BG16" s="15"/>
      <c r="BH16" s="15">
        <v>1.69</v>
      </c>
      <c r="BI16" s="15">
        <v>0.18</v>
      </c>
      <c r="BJ16" s="15">
        <f t="shared" si="12"/>
        <v>9.3888888888888893</v>
      </c>
      <c r="BK16" s="15">
        <f t="shared" si="13"/>
        <v>8.3888888888888893</v>
      </c>
    </row>
    <row r="17" spans="1:63" x14ac:dyDescent="0.25">
      <c r="A17" s="8">
        <v>43643</v>
      </c>
      <c r="B17" s="9">
        <v>7.41</v>
      </c>
      <c r="C17" s="9">
        <v>45.8</v>
      </c>
      <c r="D17" s="9">
        <v>296</v>
      </c>
      <c r="E17" s="9">
        <v>28.9</v>
      </c>
      <c r="F17" s="9">
        <v>24.1</v>
      </c>
      <c r="G17" s="9">
        <v>17.600000000000001</v>
      </c>
      <c r="H17" s="9">
        <v>122</v>
      </c>
      <c r="I17" s="9">
        <v>0.03</v>
      </c>
      <c r="J17" s="9">
        <v>0.33</v>
      </c>
      <c r="K17" s="16">
        <v>0.13</v>
      </c>
      <c r="L17" s="12" t="s">
        <v>16</v>
      </c>
      <c r="M17" s="13">
        <v>8</v>
      </c>
      <c r="N17" s="13">
        <v>30</v>
      </c>
      <c r="O17" s="13">
        <v>500</v>
      </c>
      <c r="P17" s="13">
        <v>75</v>
      </c>
      <c r="Q17" s="13">
        <v>500</v>
      </c>
      <c r="R17" s="13">
        <v>2000</v>
      </c>
      <c r="S17" s="13">
        <v>80</v>
      </c>
      <c r="T17" s="13">
        <v>5</v>
      </c>
      <c r="U17" s="13">
        <v>0.75</v>
      </c>
      <c r="V17" s="14">
        <v>0.18</v>
      </c>
      <c r="X17" s="15"/>
      <c r="Y17" s="15"/>
      <c r="Z17" s="15"/>
      <c r="AA17" s="15"/>
      <c r="AB17" s="15">
        <v>128</v>
      </c>
      <c r="AC17" s="15">
        <v>30</v>
      </c>
      <c r="AD17" s="15">
        <f t="shared" si="0"/>
        <v>4.2666666666666666</v>
      </c>
      <c r="AE17" s="15">
        <f t="shared" si="1"/>
        <v>3.2666666666666666</v>
      </c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>
        <v>539</v>
      </c>
      <c r="AW17" s="15">
        <v>80</v>
      </c>
      <c r="AX17" s="15">
        <f t="shared" si="6"/>
        <v>6.7374999999999998</v>
      </c>
      <c r="AY17" s="15">
        <f t="shared" si="7"/>
        <v>5.7374999999999998</v>
      </c>
      <c r="AZ17" s="15"/>
      <c r="BA17" s="15"/>
      <c r="BB17" s="15"/>
      <c r="BC17" s="15"/>
      <c r="BD17" s="15"/>
      <c r="BE17" s="15"/>
      <c r="BF17" s="15"/>
      <c r="BG17" s="15"/>
      <c r="BH17" s="15">
        <v>1.6</v>
      </c>
      <c r="BI17" s="15">
        <v>0.18</v>
      </c>
      <c r="BJ17" s="15">
        <f t="shared" si="12"/>
        <v>8.8888888888888893</v>
      </c>
      <c r="BK17" s="15">
        <f t="shared" si="13"/>
        <v>7.8888888888888893</v>
      </c>
    </row>
    <row r="18" spans="1:63" x14ac:dyDescent="0.25">
      <c r="A18" s="8">
        <v>43669</v>
      </c>
      <c r="B18" s="9">
        <v>7.38</v>
      </c>
      <c r="C18" s="9">
        <v>48.3</v>
      </c>
      <c r="D18" s="9">
        <v>312</v>
      </c>
      <c r="E18" s="9">
        <v>28.5</v>
      </c>
      <c r="F18" s="9">
        <v>25.6</v>
      </c>
      <c r="G18" s="9">
        <v>18.100000000000001</v>
      </c>
      <c r="H18" s="9">
        <v>137</v>
      </c>
      <c r="I18" s="9">
        <v>0.03</v>
      </c>
      <c r="J18" s="9">
        <v>0.28000000000000003</v>
      </c>
      <c r="K18" s="16">
        <v>0.33</v>
      </c>
      <c r="L18" s="30" t="s">
        <v>29</v>
      </c>
      <c r="M18" s="13">
        <f>M16/M17</f>
        <v>0.73254166666666665</v>
      </c>
      <c r="N18" s="13">
        <f t="shared" ref="N18:V18" si="15">N16/N17</f>
        <v>2.1346222222222222</v>
      </c>
      <c r="O18" s="13">
        <f t="shared" si="15"/>
        <v>0.71827105656410239</v>
      </c>
      <c r="P18" s="13">
        <f t="shared" si="15"/>
        <v>0.52522666666666673</v>
      </c>
      <c r="Q18" s="13">
        <f t="shared" si="15"/>
        <v>6.2398666666666686E-2</v>
      </c>
      <c r="R18" s="13">
        <f t="shared" si="15"/>
        <v>8.3791666666666667E-3</v>
      </c>
      <c r="S18" s="13">
        <f t="shared" si="15"/>
        <v>2.8472666666666666</v>
      </c>
      <c r="T18" s="13">
        <f t="shared" si="15"/>
        <v>0.34182666666666661</v>
      </c>
      <c r="U18" s="13">
        <f t="shared" si="15"/>
        <v>2.726666666666667</v>
      </c>
      <c r="V18" s="14">
        <f t="shared" si="15"/>
        <v>11.463703703703704</v>
      </c>
      <c r="X18" s="15"/>
      <c r="Y18" s="15"/>
      <c r="Z18" s="15"/>
      <c r="AA18" s="15"/>
      <c r="AB18" s="15">
        <v>137</v>
      </c>
      <c r="AC18" s="15">
        <v>30</v>
      </c>
      <c r="AD18" s="15">
        <f t="shared" si="0"/>
        <v>4.5666666666666664</v>
      </c>
      <c r="AE18" s="15">
        <f t="shared" si="1"/>
        <v>3.5666666666666664</v>
      </c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>
        <v>588</v>
      </c>
      <c r="AW18" s="15">
        <v>80</v>
      </c>
      <c r="AX18" s="15">
        <f t="shared" si="6"/>
        <v>7.35</v>
      </c>
      <c r="AY18" s="15">
        <f t="shared" si="7"/>
        <v>6.35</v>
      </c>
      <c r="AZ18" s="15"/>
      <c r="BA18" s="15"/>
      <c r="BB18" s="15"/>
      <c r="BC18" s="15"/>
      <c r="BD18" s="15"/>
      <c r="BE18" s="15"/>
      <c r="BF18" s="15"/>
      <c r="BG18" s="15"/>
      <c r="BH18" s="15">
        <v>1.79</v>
      </c>
      <c r="BI18" s="15">
        <v>0.18</v>
      </c>
      <c r="BJ18" s="15">
        <f t="shared" si="12"/>
        <v>9.9444444444444446</v>
      </c>
      <c r="BK18" s="15">
        <f t="shared" si="13"/>
        <v>8.9444444444444446</v>
      </c>
    </row>
    <row r="19" spans="1:63" x14ac:dyDescent="0.25">
      <c r="A19" s="8">
        <v>43703</v>
      </c>
      <c r="B19" s="9">
        <v>7.51</v>
      </c>
      <c r="C19" s="9">
        <v>52.6</v>
      </c>
      <c r="D19" s="9">
        <v>336</v>
      </c>
      <c r="E19" s="9">
        <v>33.4</v>
      </c>
      <c r="F19" s="9">
        <v>30.2</v>
      </c>
      <c r="G19" s="9">
        <v>21.2</v>
      </c>
      <c r="H19" s="9">
        <v>168</v>
      </c>
      <c r="I19" s="9">
        <v>0.02</v>
      </c>
      <c r="J19" s="9">
        <v>0.19</v>
      </c>
      <c r="K19" s="16">
        <v>0.2</v>
      </c>
      <c r="L19" s="30" t="s">
        <v>30</v>
      </c>
      <c r="M19" s="13">
        <f>1/COUNT(M16:V16)</f>
        <v>0.1</v>
      </c>
      <c r="N19" s="13"/>
      <c r="O19" s="13"/>
      <c r="P19" s="13"/>
      <c r="Q19" s="13"/>
      <c r="R19" s="13"/>
      <c r="S19" s="13"/>
      <c r="T19" s="13"/>
      <c r="U19" s="13"/>
      <c r="V19" s="14"/>
      <c r="X19" s="15"/>
      <c r="Y19" s="15"/>
      <c r="Z19" s="15"/>
      <c r="AA19" s="15"/>
      <c r="AB19" s="15">
        <v>138</v>
      </c>
      <c r="AC19" s="15">
        <v>30</v>
      </c>
      <c r="AD19" s="15">
        <f t="shared" si="0"/>
        <v>4.5999999999999996</v>
      </c>
      <c r="AE19" s="15">
        <f t="shared" si="1"/>
        <v>3.5999999999999996</v>
      </c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>
        <v>608</v>
      </c>
      <c r="AW19" s="15">
        <v>80</v>
      </c>
      <c r="AX19" s="15">
        <f t="shared" si="6"/>
        <v>7.6</v>
      </c>
      <c r="AY19" s="15">
        <f t="shared" si="7"/>
        <v>6.6</v>
      </c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</row>
    <row r="20" spans="1:63" x14ac:dyDescent="0.25">
      <c r="A20" s="8">
        <v>43737</v>
      </c>
      <c r="B20" s="9">
        <v>7.05</v>
      </c>
      <c r="C20" s="9">
        <v>62.2</v>
      </c>
      <c r="D20" s="9">
        <v>330</v>
      </c>
      <c r="E20" s="9">
        <v>37</v>
      </c>
      <c r="F20" s="9">
        <v>34</v>
      </c>
      <c r="G20" s="9">
        <v>19.5</v>
      </c>
      <c r="H20" s="9">
        <v>193</v>
      </c>
      <c r="I20" s="9">
        <v>0.04</v>
      </c>
      <c r="J20" s="9">
        <v>0.21</v>
      </c>
      <c r="K20" s="16">
        <v>0.24</v>
      </c>
      <c r="L20" s="30" t="s">
        <v>31</v>
      </c>
      <c r="M20" s="13">
        <f>$M$19*M18</f>
        <v>7.3254166666666662E-2</v>
      </c>
      <c r="N20" s="13">
        <f t="shared" ref="N20:V20" si="16">$M$19*N18</f>
        <v>0.21346222222222222</v>
      </c>
      <c r="O20" s="13">
        <f t="shared" si="16"/>
        <v>7.1827105656410248E-2</v>
      </c>
      <c r="P20" s="13">
        <f t="shared" si="16"/>
        <v>5.2522666666666676E-2</v>
      </c>
      <c r="Q20" s="13">
        <f t="shared" si="16"/>
        <v>6.2398666666666691E-3</v>
      </c>
      <c r="R20" s="13">
        <f t="shared" si="16"/>
        <v>8.3791666666666671E-4</v>
      </c>
      <c r="S20" s="13">
        <f t="shared" si="16"/>
        <v>0.28472666666666668</v>
      </c>
      <c r="T20" s="13">
        <f t="shared" si="16"/>
        <v>3.418266666666666E-2</v>
      </c>
      <c r="U20" s="13">
        <f t="shared" si="16"/>
        <v>0.27266666666666672</v>
      </c>
      <c r="V20" s="14">
        <f t="shared" si="16"/>
        <v>1.1463703703703705</v>
      </c>
      <c r="X20" s="15"/>
      <c r="Y20" s="15"/>
      <c r="Z20" s="15"/>
      <c r="AA20" s="15"/>
      <c r="AB20" s="15">
        <v>148</v>
      </c>
      <c r="AC20" s="15">
        <v>30</v>
      </c>
      <c r="AD20" s="15">
        <f t="shared" si="0"/>
        <v>4.9333333333333336</v>
      </c>
      <c r="AE20" s="15">
        <f t="shared" si="1"/>
        <v>3.9333333333333336</v>
      </c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>
        <v>691</v>
      </c>
      <c r="AW20" s="15">
        <v>80</v>
      </c>
      <c r="AX20" s="15">
        <f t="shared" si="6"/>
        <v>8.6374999999999993</v>
      </c>
      <c r="AY20" s="15">
        <f t="shared" si="7"/>
        <v>7.6374999999999993</v>
      </c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</row>
    <row r="21" spans="1:63" ht="15.75" thickBot="1" x14ac:dyDescent="0.3">
      <c r="A21" s="21">
        <v>43949</v>
      </c>
      <c r="B21" s="15">
        <v>7.85</v>
      </c>
      <c r="C21" s="15">
        <v>128</v>
      </c>
      <c r="D21" s="15">
        <v>768.02961000000005</v>
      </c>
      <c r="E21" s="15">
        <v>77.5</v>
      </c>
      <c r="F21" s="15">
        <v>56.564999999999998</v>
      </c>
      <c r="G21" s="15">
        <v>17.8</v>
      </c>
      <c r="H21" s="15">
        <v>515</v>
      </c>
      <c r="I21" s="20">
        <v>7.5359999999999996</v>
      </c>
      <c r="J21" s="20">
        <v>2.72</v>
      </c>
      <c r="K21" s="31">
        <v>7.4459999999999997</v>
      </c>
      <c r="L21" s="32" t="s">
        <v>32</v>
      </c>
      <c r="M21" s="25">
        <f>SUM(M20:V20)</f>
        <v>2.1560903149156698</v>
      </c>
      <c r="N21" s="26"/>
      <c r="O21" s="26"/>
      <c r="P21" s="26"/>
      <c r="Q21" s="26"/>
      <c r="R21" s="26"/>
      <c r="S21" s="26"/>
      <c r="T21" s="26"/>
      <c r="U21" s="26"/>
      <c r="V21" s="27"/>
      <c r="X21" s="15"/>
      <c r="Y21" s="15"/>
      <c r="Z21" s="15"/>
      <c r="AA21" s="15"/>
      <c r="AB21" s="15">
        <v>155</v>
      </c>
      <c r="AC21" s="15">
        <v>30</v>
      </c>
      <c r="AD21" s="15">
        <f t="shared" si="0"/>
        <v>5.166666666666667</v>
      </c>
      <c r="AE21" s="15">
        <f t="shared" si="1"/>
        <v>4.166666666666667</v>
      </c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>
        <v>771</v>
      </c>
      <c r="AW21" s="15">
        <v>80</v>
      </c>
      <c r="AX21" s="15">
        <f t="shared" si="6"/>
        <v>9.6374999999999993</v>
      </c>
      <c r="AY21" s="15">
        <f t="shared" si="7"/>
        <v>8.6374999999999993</v>
      </c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</row>
    <row r="22" spans="1:63" x14ac:dyDescent="0.25">
      <c r="A22" s="21">
        <v>43979</v>
      </c>
      <c r="B22" s="15">
        <v>3.8</v>
      </c>
      <c r="C22" s="15">
        <v>137</v>
      </c>
      <c r="D22" s="15">
        <v>764.89099999999996</v>
      </c>
      <c r="E22" s="15">
        <v>76.02</v>
      </c>
      <c r="F22" s="15">
        <v>58.005000000000003</v>
      </c>
      <c r="G22" s="15">
        <v>20.100000000000001</v>
      </c>
      <c r="H22" s="15">
        <v>539</v>
      </c>
      <c r="I22" s="20">
        <v>9.1280000000000001</v>
      </c>
      <c r="J22" s="20">
        <v>2.82</v>
      </c>
      <c r="K22" s="31">
        <v>7.5979999999999999</v>
      </c>
      <c r="X22" s="15"/>
      <c r="Y22" s="15"/>
      <c r="Z22" s="15"/>
      <c r="AA22" s="15"/>
      <c r="AB22" s="15">
        <v>178</v>
      </c>
      <c r="AC22" s="15">
        <v>30</v>
      </c>
      <c r="AD22" s="15">
        <f t="shared" si="0"/>
        <v>5.9333333333333336</v>
      </c>
      <c r="AE22" s="15">
        <f t="shared" si="1"/>
        <v>4.9333333333333336</v>
      </c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>
        <v>125</v>
      </c>
      <c r="AW22" s="15">
        <v>80</v>
      </c>
      <c r="AX22" s="15">
        <f t="shared" si="6"/>
        <v>1.5625</v>
      </c>
      <c r="AY22" s="15">
        <f t="shared" si="7"/>
        <v>0.5625</v>
      </c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</row>
    <row r="23" spans="1:63" x14ac:dyDescent="0.25">
      <c r="A23" s="21">
        <v>44010</v>
      </c>
      <c r="B23" s="15">
        <v>3.44</v>
      </c>
      <c r="C23" s="15">
        <v>138</v>
      </c>
      <c r="D23" s="15">
        <v>836</v>
      </c>
      <c r="E23" s="15">
        <v>82.1</v>
      </c>
      <c r="F23" s="15">
        <v>61.3</v>
      </c>
      <c r="G23" s="15">
        <v>23.1</v>
      </c>
      <c r="H23" s="15">
        <v>588</v>
      </c>
      <c r="I23" s="20">
        <v>8.6199999999999992</v>
      </c>
      <c r="J23" s="20">
        <v>9.57</v>
      </c>
      <c r="K23" s="31">
        <v>8.3000000000000007</v>
      </c>
      <c r="X23" s="15"/>
      <c r="Y23" s="15"/>
      <c r="Z23" s="15"/>
      <c r="AA23" s="15"/>
      <c r="AB23" s="15">
        <v>36.5</v>
      </c>
      <c r="AC23" s="15">
        <v>30</v>
      </c>
      <c r="AD23" s="15">
        <f t="shared" si="0"/>
        <v>1.2166666666666666</v>
      </c>
      <c r="AE23" s="15">
        <f t="shared" si="1"/>
        <v>0.21666666666666656</v>
      </c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>
        <v>163.74</v>
      </c>
      <c r="AW23" s="15">
        <v>80</v>
      </c>
      <c r="AX23" s="15">
        <f t="shared" si="6"/>
        <v>2.0467500000000003</v>
      </c>
      <c r="AY23" s="15">
        <f t="shared" si="7"/>
        <v>1.0467500000000003</v>
      </c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</row>
    <row r="24" spans="1:63" x14ac:dyDescent="0.25">
      <c r="A24" s="21">
        <v>44040</v>
      </c>
      <c r="B24" s="15">
        <v>3.53</v>
      </c>
      <c r="C24" s="15">
        <v>148</v>
      </c>
      <c r="D24" s="15">
        <v>890</v>
      </c>
      <c r="E24" s="15">
        <v>98.6</v>
      </c>
      <c r="F24" s="15">
        <v>74.099999999999994</v>
      </c>
      <c r="G24" s="15">
        <v>22.9</v>
      </c>
      <c r="H24" s="15">
        <v>608</v>
      </c>
      <c r="I24" s="20">
        <v>9.5</v>
      </c>
      <c r="J24" s="20">
        <v>4.53</v>
      </c>
      <c r="K24" s="31">
        <v>8.9600000000000009</v>
      </c>
      <c r="X24" s="15"/>
      <c r="Y24" s="15"/>
      <c r="Z24" s="15"/>
      <c r="AA24" s="15"/>
      <c r="AB24" s="15">
        <v>44.2</v>
      </c>
      <c r="AC24" s="15">
        <v>30</v>
      </c>
      <c r="AD24" s="15">
        <f t="shared" si="0"/>
        <v>1.4733333333333334</v>
      </c>
      <c r="AE24" s="15">
        <f t="shared" si="1"/>
        <v>0.47333333333333338</v>
      </c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>
        <v>190</v>
      </c>
      <c r="AW24" s="15">
        <v>80</v>
      </c>
      <c r="AX24" s="15">
        <f t="shared" si="6"/>
        <v>2.375</v>
      </c>
      <c r="AY24" s="15">
        <f t="shared" si="7"/>
        <v>1.375</v>
      </c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</row>
    <row r="25" spans="1:63" x14ac:dyDescent="0.25">
      <c r="A25" s="21">
        <v>44071</v>
      </c>
      <c r="B25" s="15">
        <v>3.62</v>
      </c>
      <c r="C25" s="15">
        <v>155</v>
      </c>
      <c r="D25" s="15">
        <v>984</v>
      </c>
      <c r="E25" s="15">
        <v>101</v>
      </c>
      <c r="F25" s="15">
        <v>75.7</v>
      </c>
      <c r="G25" s="15">
        <v>25</v>
      </c>
      <c r="H25" s="15">
        <v>691</v>
      </c>
      <c r="I25" s="20">
        <v>8.39</v>
      </c>
      <c r="J25" s="20">
        <v>11.2</v>
      </c>
      <c r="K25" s="31">
        <v>9.15</v>
      </c>
      <c r="X25" s="15"/>
      <c r="Y25" s="15"/>
      <c r="Z25" s="15"/>
      <c r="AA25" s="15"/>
      <c r="AB25" s="15">
        <v>49.3</v>
      </c>
      <c r="AC25" s="15">
        <v>30</v>
      </c>
      <c r="AD25" s="15">
        <f t="shared" si="0"/>
        <v>1.6433333333333333</v>
      </c>
      <c r="AE25" s="15">
        <f t="shared" si="1"/>
        <v>0.64333333333333331</v>
      </c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>
        <v>180</v>
      </c>
      <c r="AW25" s="15">
        <v>80</v>
      </c>
      <c r="AX25" s="15">
        <f t="shared" si="6"/>
        <v>2.25</v>
      </c>
      <c r="AY25" s="15">
        <f t="shared" si="7"/>
        <v>1.25</v>
      </c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</row>
    <row r="26" spans="1:63" x14ac:dyDescent="0.25">
      <c r="A26" s="21">
        <v>44102</v>
      </c>
      <c r="B26" s="15">
        <v>3.14</v>
      </c>
      <c r="C26" s="15">
        <v>178</v>
      </c>
      <c r="D26" s="15">
        <v>1120</v>
      </c>
      <c r="E26" s="15">
        <v>148</v>
      </c>
      <c r="F26" s="15">
        <v>75.099999999999994</v>
      </c>
      <c r="G26" s="15">
        <v>27.4</v>
      </c>
      <c r="H26" s="15">
        <v>771</v>
      </c>
      <c r="I26" s="20">
        <v>6.22</v>
      </c>
      <c r="J26" s="20">
        <v>7.33</v>
      </c>
      <c r="K26" s="31">
        <v>9.0299999999999994</v>
      </c>
      <c r="X26" s="15"/>
      <c r="Y26" s="15"/>
      <c r="Z26" s="15"/>
      <c r="AA26" s="15"/>
      <c r="AB26" s="15">
        <v>50.9</v>
      </c>
      <c r="AC26" s="15">
        <v>30</v>
      </c>
      <c r="AD26" s="15">
        <f t="shared" si="0"/>
        <v>1.6966666666666665</v>
      </c>
      <c r="AE26" s="15">
        <f t="shared" si="1"/>
        <v>0.69666666666666655</v>
      </c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>
        <v>205</v>
      </c>
      <c r="AW26" s="15">
        <v>80</v>
      </c>
      <c r="AX26" s="15">
        <f t="shared" si="6"/>
        <v>2.5625</v>
      </c>
      <c r="AY26" s="15">
        <f t="shared" si="7"/>
        <v>1.5625</v>
      </c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</row>
    <row r="27" spans="1:63" x14ac:dyDescent="0.25">
      <c r="A27" s="8">
        <v>44314</v>
      </c>
      <c r="B27" s="9">
        <v>6.9</v>
      </c>
      <c r="C27" s="9">
        <v>36.5</v>
      </c>
      <c r="D27" s="9">
        <v>211.89</v>
      </c>
      <c r="E27" s="9">
        <v>21.5</v>
      </c>
      <c r="F27" s="9">
        <v>13.7</v>
      </c>
      <c r="G27" s="9">
        <v>19.600000000000001</v>
      </c>
      <c r="H27" s="9">
        <v>125</v>
      </c>
      <c r="I27" s="9">
        <v>0.37</v>
      </c>
      <c r="J27" s="9">
        <v>0.23</v>
      </c>
      <c r="K27" s="16">
        <v>0.09</v>
      </c>
      <c r="X27" s="15"/>
      <c r="Y27" s="15"/>
      <c r="Z27" s="15"/>
      <c r="AA27" s="15"/>
      <c r="AB27" s="15">
        <v>61</v>
      </c>
      <c r="AC27" s="15">
        <v>30</v>
      </c>
      <c r="AD27" s="15">
        <f t="shared" si="0"/>
        <v>2.0333333333333332</v>
      </c>
      <c r="AE27" s="15">
        <f t="shared" si="1"/>
        <v>1.0333333333333332</v>
      </c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>
        <v>238</v>
      </c>
      <c r="AW27" s="15">
        <v>80</v>
      </c>
      <c r="AX27" s="15">
        <f t="shared" si="6"/>
        <v>2.9750000000000001</v>
      </c>
      <c r="AY27" s="15">
        <f t="shared" si="7"/>
        <v>1.9750000000000001</v>
      </c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</row>
    <row r="28" spans="1:63" x14ac:dyDescent="0.25">
      <c r="A28" s="8">
        <v>44344</v>
      </c>
      <c r="B28" s="9">
        <v>4.37</v>
      </c>
      <c r="C28" s="9">
        <v>44.2</v>
      </c>
      <c r="D28" s="9">
        <v>259.92649999999998</v>
      </c>
      <c r="E28" s="9">
        <v>25.5</v>
      </c>
      <c r="F28" s="9">
        <v>25.2</v>
      </c>
      <c r="G28" s="9">
        <v>13.4</v>
      </c>
      <c r="H28" s="9">
        <v>163.74</v>
      </c>
      <c r="I28" s="9">
        <v>0.11</v>
      </c>
      <c r="J28" s="9">
        <v>0.09</v>
      </c>
      <c r="K28" s="16">
        <v>1.25</v>
      </c>
      <c r="X28" s="15"/>
      <c r="Y28" s="15"/>
      <c r="Z28" s="15"/>
      <c r="AA28" s="15"/>
      <c r="AB28" s="15">
        <v>66</v>
      </c>
      <c r="AC28" s="15">
        <v>30</v>
      </c>
      <c r="AD28" s="15">
        <f t="shared" si="0"/>
        <v>2.2000000000000002</v>
      </c>
      <c r="AE28" s="15">
        <f t="shared" si="1"/>
        <v>1.2000000000000002</v>
      </c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</row>
    <row r="29" spans="1:63" x14ac:dyDescent="0.25">
      <c r="A29" s="8">
        <v>44375</v>
      </c>
      <c r="B29" s="9">
        <v>4.33</v>
      </c>
      <c r="C29" s="9">
        <v>49.3</v>
      </c>
      <c r="D29" s="9">
        <v>303.93873846153798</v>
      </c>
      <c r="E29" s="9">
        <v>30.44</v>
      </c>
      <c r="F29" s="9">
        <v>30.11</v>
      </c>
      <c r="G29" s="9">
        <v>17.95</v>
      </c>
      <c r="H29" s="9">
        <v>190</v>
      </c>
      <c r="I29" s="9">
        <v>-0.01</v>
      </c>
      <c r="J29" s="9">
        <v>0.01</v>
      </c>
      <c r="K29" s="16">
        <v>1.1100000000000001</v>
      </c>
    </row>
    <row r="30" spans="1:63" x14ac:dyDescent="0.25">
      <c r="A30" s="8">
        <v>44405</v>
      </c>
      <c r="B30" s="9">
        <v>4.97</v>
      </c>
      <c r="C30" s="9">
        <v>50.9</v>
      </c>
      <c r="D30" s="9">
        <v>292.72000000000003</v>
      </c>
      <c r="E30" s="9">
        <v>33.200000000000003</v>
      </c>
      <c r="F30" s="9">
        <v>24.2</v>
      </c>
      <c r="G30" s="9">
        <v>14.4</v>
      </c>
      <c r="H30" s="9">
        <v>180</v>
      </c>
      <c r="I30" s="9">
        <v>0.15</v>
      </c>
      <c r="J30" s="9">
        <v>0.03</v>
      </c>
      <c r="K30" s="16">
        <v>1.69</v>
      </c>
    </row>
    <row r="31" spans="1:63" x14ac:dyDescent="0.25">
      <c r="A31" s="8">
        <v>44436</v>
      </c>
      <c r="B31" s="9">
        <v>3.98</v>
      </c>
      <c r="C31" s="9">
        <v>61</v>
      </c>
      <c r="D31" s="9">
        <v>323.95999999999998</v>
      </c>
      <c r="E31" s="9">
        <v>37.6</v>
      </c>
      <c r="F31" s="9">
        <v>27.9</v>
      </c>
      <c r="G31" s="9">
        <v>14.9</v>
      </c>
      <c r="H31" s="9">
        <v>205</v>
      </c>
      <c r="I31" s="9">
        <v>0.33</v>
      </c>
      <c r="J31" s="9">
        <v>0.02</v>
      </c>
      <c r="K31" s="16">
        <v>1.6</v>
      </c>
    </row>
    <row r="32" spans="1:63" x14ac:dyDescent="0.25">
      <c r="A32" s="8">
        <v>44467</v>
      </c>
      <c r="B32" s="9">
        <v>3.78</v>
      </c>
      <c r="C32" s="9">
        <v>66</v>
      </c>
      <c r="D32" s="9">
        <v>369.41</v>
      </c>
      <c r="E32" s="9">
        <v>36.6</v>
      </c>
      <c r="F32" s="9">
        <v>32.200000000000003</v>
      </c>
      <c r="G32" s="9">
        <v>18.100000000000001</v>
      </c>
      <c r="H32" s="9">
        <v>238</v>
      </c>
      <c r="I32" s="9">
        <v>0.28000000000000003</v>
      </c>
      <c r="J32" s="9">
        <v>0.02</v>
      </c>
      <c r="K32" s="16">
        <v>1.79</v>
      </c>
    </row>
    <row r="33" spans="1:63" x14ac:dyDescent="0.2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</row>
    <row r="34" spans="1:63" ht="19.5" thickBot="1" x14ac:dyDescent="0.35">
      <c r="A34" s="35" t="s">
        <v>33</v>
      </c>
    </row>
    <row r="35" spans="1:63" ht="23.25" thickBot="1" x14ac:dyDescent="0.3">
      <c r="A35" s="2" t="s">
        <v>1</v>
      </c>
      <c r="B35" s="3" t="s">
        <v>2</v>
      </c>
      <c r="C35" s="3" t="s">
        <v>3</v>
      </c>
      <c r="D35" s="3" t="s">
        <v>4</v>
      </c>
      <c r="E35" s="3" t="s">
        <v>5</v>
      </c>
      <c r="F35" s="3" t="s">
        <v>6</v>
      </c>
      <c r="G35" s="3" t="s">
        <v>7</v>
      </c>
      <c r="H35" s="3" t="s">
        <v>8</v>
      </c>
      <c r="I35" s="3" t="s">
        <v>9</v>
      </c>
      <c r="J35" s="3" t="s">
        <v>10</v>
      </c>
      <c r="K35" s="4" t="s">
        <v>11</v>
      </c>
      <c r="L35" s="5" t="s">
        <v>12</v>
      </c>
      <c r="M35" s="6" t="s">
        <v>2</v>
      </c>
      <c r="N35" s="6" t="s">
        <v>3</v>
      </c>
      <c r="O35" s="6" t="s">
        <v>4</v>
      </c>
      <c r="P35" s="6" t="s">
        <v>5</v>
      </c>
      <c r="Q35" s="6" t="s">
        <v>6</v>
      </c>
      <c r="R35" s="6" t="s">
        <v>7</v>
      </c>
      <c r="S35" s="6" t="s">
        <v>8</v>
      </c>
      <c r="T35" s="6" t="s">
        <v>9</v>
      </c>
      <c r="U35" s="6" t="s">
        <v>10</v>
      </c>
      <c r="V35" s="7" t="s">
        <v>11</v>
      </c>
      <c r="X35" s="3" t="s">
        <v>2</v>
      </c>
      <c r="Y35" s="3" t="s">
        <v>13</v>
      </c>
      <c r="Z35" s="3" t="s">
        <v>14</v>
      </c>
      <c r="AA35" s="3" t="s">
        <v>15</v>
      </c>
      <c r="AB35" s="3" t="s">
        <v>3</v>
      </c>
      <c r="AC35" s="3" t="s">
        <v>13</v>
      </c>
      <c r="AD35" s="3" t="s">
        <v>14</v>
      </c>
      <c r="AE35" s="3" t="s">
        <v>15</v>
      </c>
      <c r="AF35" s="3" t="s">
        <v>4</v>
      </c>
      <c r="AG35" s="3" t="s">
        <v>13</v>
      </c>
      <c r="AH35" s="3" t="s">
        <v>14</v>
      </c>
      <c r="AI35" s="3" t="s">
        <v>15</v>
      </c>
      <c r="AJ35" s="3" t="s">
        <v>5</v>
      </c>
      <c r="AK35" s="3" t="s">
        <v>13</v>
      </c>
      <c r="AL35" s="3" t="s">
        <v>14</v>
      </c>
      <c r="AM35" s="3" t="s">
        <v>15</v>
      </c>
      <c r="AN35" s="3" t="s">
        <v>6</v>
      </c>
      <c r="AO35" s="3" t="s">
        <v>13</v>
      </c>
      <c r="AP35" s="3" t="s">
        <v>14</v>
      </c>
      <c r="AQ35" s="3" t="s">
        <v>15</v>
      </c>
      <c r="AR35" s="3" t="s">
        <v>7</v>
      </c>
      <c r="AS35" s="3" t="s">
        <v>13</v>
      </c>
      <c r="AT35" s="3" t="s">
        <v>14</v>
      </c>
      <c r="AU35" s="3" t="s">
        <v>15</v>
      </c>
      <c r="AV35" s="3" t="s">
        <v>8</v>
      </c>
      <c r="AW35" s="3" t="s">
        <v>13</v>
      </c>
      <c r="AX35" s="3" t="s">
        <v>14</v>
      </c>
      <c r="AY35" s="3" t="s">
        <v>15</v>
      </c>
      <c r="AZ35" s="3" t="s">
        <v>9</v>
      </c>
      <c r="BA35" s="3" t="s">
        <v>13</v>
      </c>
      <c r="BB35" s="3" t="s">
        <v>14</v>
      </c>
      <c r="BC35" s="3" t="s">
        <v>15</v>
      </c>
      <c r="BD35" s="3" t="s">
        <v>10</v>
      </c>
      <c r="BE35" s="3" t="s">
        <v>13</v>
      </c>
      <c r="BF35" s="3" t="s">
        <v>14</v>
      </c>
      <c r="BG35" s="3" t="s">
        <v>15</v>
      </c>
      <c r="BH35" s="3" t="s">
        <v>11</v>
      </c>
      <c r="BI35" s="3" t="s">
        <v>13</v>
      </c>
      <c r="BJ35" s="3" t="s">
        <v>14</v>
      </c>
      <c r="BK35" s="3" t="s">
        <v>15</v>
      </c>
    </row>
    <row r="36" spans="1:63" x14ac:dyDescent="0.25">
      <c r="A36" s="36">
        <v>42763</v>
      </c>
      <c r="B36" s="37">
        <v>6.4</v>
      </c>
      <c r="C36" s="37">
        <v>23.72</v>
      </c>
      <c r="D36" s="37">
        <v>82.940000000000012</v>
      </c>
      <c r="E36" s="37">
        <v>12.3</v>
      </c>
      <c r="F36" s="37">
        <v>11.4</v>
      </c>
      <c r="G36" s="37">
        <v>9.4</v>
      </c>
      <c r="H36" s="37">
        <v>65.900000000000006</v>
      </c>
      <c r="I36" s="38">
        <v>0.06</v>
      </c>
      <c r="J36" s="38">
        <v>0.2</v>
      </c>
      <c r="K36" s="39">
        <v>0</v>
      </c>
      <c r="L36" s="12" t="s">
        <v>16</v>
      </c>
      <c r="M36" s="13">
        <v>8</v>
      </c>
      <c r="N36" s="13">
        <v>30</v>
      </c>
      <c r="O36" s="13">
        <v>500</v>
      </c>
      <c r="P36" s="13">
        <v>75</v>
      </c>
      <c r="Q36" s="13">
        <v>500</v>
      </c>
      <c r="R36" s="13">
        <v>2000</v>
      </c>
      <c r="S36" s="13">
        <v>80</v>
      </c>
      <c r="T36" s="13">
        <v>5</v>
      </c>
      <c r="U36" s="13">
        <v>0.75</v>
      </c>
      <c r="V36" s="14">
        <v>0.18</v>
      </c>
      <c r="X36" s="15"/>
      <c r="Y36" s="15"/>
      <c r="Z36" s="15"/>
      <c r="AA36" s="15"/>
      <c r="AB36" s="15">
        <v>52.1</v>
      </c>
      <c r="AC36" s="15">
        <v>30</v>
      </c>
      <c r="AD36" s="15">
        <f>AB36/AC36</f>
        <v>1.7366666666666668</v>
      </c>
      <c r="AE36" s="15">
        <f>AD36-1</f>
        <v>0.7366666666666668</v>
      </c>
      <c r="AF36" s="15">
        <v>660</v>
      </c>
      <c r="AG36" s="15">
        <v>500</v>
      </c>
      <c r="AH36" s="15">
        <f>AF36/AG36</f>
        <v>1.32</v>
      </c>
      <c r="AI36" s="15">
        <f>AH36-1</f>
        <v>0.32000000000000006</v>
      </c>
      <c r="AJ36" s="15">
        <v>145</v>
      </c>
      <c r="AK36" s="15">
        <v>75</v>
      </c>
      <c r="AL36" s="15">
        <f>AJ36/AK36</f>
        <v>1.9333333333333333</v>
      </c>
      <c r="AM36" s="15">
        <f>AL36-1</f>
        <v>0.93333333333333335</v>
      </c>
      <c r="AN36" s="15"/>
      <c r="AO36" s="15"/>
      <c r="AP36" s="15"/>
      <c r="AQ36" s="15"/>
      <c r="AR36" s="15"/>
      <c r="AS36" s="15"/>
      <c r="AT36" s="15"/>
      <c r="AU36" s="15"/>
      <c r="AV36" s="15">
        <v>159</v>
      </c>
      <c r="AW36" s="15">
        <v>80</v>
      </c>
      <c r="AX36" s="15">
        <f>AV36/AW36</f>
        <v>1.9875</v>
      </c>
      <c r="AY36" s="15">
        <f>AX36-1</f>
        <v>0.98750000000000004</v>
      </c>
      <c r="AZ36" s="15">
        <v>5.19</v>
      </c>
      <c r="BA36" s="15">
        <v>5</v>
      </c>
      <c r="BB36" s="15">
        <f>AZ36/BA36</f>
        <v>1.038</v>
      </c>
      <c r="BC36" s="15">
        <f>BB36-1</f>
        <v>3.8000000000000034E-2</v>
      </c>
      <c r="BD36" s="15">
        <v>0.8</v>
      </c>
      <c r="BE36" s="15">
        <v>0.75</v>
      </c>
      <c r="BF36" s="15">
        <f>BD36/BE36</f>
        <v>1.0666666666666667</v>
      </c>
      <c r="BG36" s="15">
        <f>BF36-1</f>
        <v>6.6666666666666652E-2</v>
      </c>
      <c r="BH36" s="15">
        <v>2.2000000000000002</v>
      </c>
      <c r="BI36" s="15">
        <v>0.18</v>
      </c>
      <c r="BJ36" s="15">
        <f>BH36/BI36</f>
        <v>12.222222222222223</v>
      </c>
      <c r="BK36" s="15">
        <f>BJ36-1</f>
        <v>11.222222222222223</v>
      </c>
    </row>
    <row r="37" spans="1:63" x14ac:dyDescent="0.25">
      <c r="A37" s="40">
        <v>42794</v>
      </c>
      <c r="B37" s="9">
        <v>6.7</v>
      </c>
      <c r="C37" s="9">
        <v>27.78</v>
      </c>
      <c r="D37" s="9">
        <v>84.3</v>
      </c>
      <c r="E37" s="9">
        <v>15.5</v>
      </c>
      <c r="F37" s="9">
        <v>13.5</v>
      </c>
      <c r="G37" s="9">
        <v>11.4</v>
      </c>
      <c r="H37" s="9">
        <v>60.6</v>
      </c>
      <c r="I37" s="9">
        <v>0</v>
      </c>
      <c r="J37" s="9">
        <v>0.8</v>
      </c>
      <c r="K37" s="16">
        <v>2.2000000000000002</v>
      </c>
      <c r="L37" s="12" t="s">
        <v>17</v>
      </c>
      <c r="M37" s="13">
        <f>COUNTIF(B36:B65,"&gt;8")</f>
        <v>0</v>
      </c>
      <c r="N37" s="13">
        <f>COUNTIF(C36:C65,"&gt;30")</f>
        <v>23</v>
      </c>
      <c r="O37" s="13">
        <f>COUNTIF(D36:D65, "&gt;500")</f>
        <v>12</v>
      </c>
      <c r="P37" s="13">
        <f>COUNTIF(E36:E65,"&gt;75")</f>
        <v>4</v>
      </c>
      <c r="Q37" s="13">
        <f>COUNTIF(F36:F65,"&gt;500")</f>
        <v>0</v>
      </c>
      <c r="R37" s="13">
        <f>COUNTIF(G36:G65,"&gt;2000")</f>
        <v>0</v>
      </c>
      <c r="S37" s="13">
        <f>COUNTIF(H36:H65,"&gt;80")</f>
        <v>21</v>
      </c>
      <c r="T37" s="13">
        <f>COUNTIF(I36:I65,"&gt;5")</f>
        <v>5</v>
      </c>
      <c r="U37" s="13">
        <f>COUNTIF(J36:J65,"&gt;0.75")</f>
        <v>10</v>
      </c>
      <c r="V37" s="14">
        <f>COUNTIF(K36:K65,"&gt;0.180")</f>
        <v>15</v>
      </c>
      <c r="X37" s="15"/>
      <c r="Y37" s="15"/>
      <c r="Z37" s="15"/>
      <c r="AA37" s="15"/>
      <c r="AB37" s="15">
        <v>58.3</v>
      </c>
      <c r="AC37" s="15">
        <v>30</v>
      </c>
      <c r="AD37" s="15">
        <f t="shared" ref="AD37:AD58" si="17">AB37/AC37</f>
        <v>1.9433333333333331</v>
      </c>
      <c r="AE37" s="15">
        <f t="shared" ref="AE37:AE58" si="18">AD37-1</f>
        <v>0.94333333333333313</v>
      </c>
      <c r="AF37" s="15">
        <v>602</v>
      </c>
      <c r="AG37" s="15">
        <v>500</v>
      </c>
      <c r="AH37" s="15">
        <f t="shared" ref="AH37:AH47" si="19">AF37/AG37</f>
        <v>1.204</v>
      </c>
      <c r="AI37" s="15">
        <f t="shared" ref="AI37:AI47" si="20">AH37-1</f>
        <v>0.20399999999999996</v>
      </c>
      <c r="AJ37" s="15">
        <v>166</v>
      </c>
      <c r="AK37" s="15">
        <v>75</v>
      </c>
      <c r="AL37" s="15">
        <f t="shared" ref="AL37:AL39" si="21">AJ37/AK37</f>
        <v>2.2133333333333334</v>
      </c>
      <c r="AM37" s="15">
        <f t="shared" ref="AM37:AM39" si="22">AL37-1</f>
        <v>1.2133333333333334</v>
      </c>
      <c r="AN37" s="15"/>
      <c r="AO37" s="15"/>
      <c r="AP37" s="15"/>
      <c r="AQ37" s="15"/>
      <c r="AR37" s="15"/>
      <c r="AS37" s="15"/>
      <c r="AT37" s="15"/>
      <c r="AU37" s="15"/>
      <c r="AV37" s="15">
        <v>124</v>
      </c>
      <c r="AW37" s="15">
        <v>80</v>
      </c>
      <c r="AX37" s="15">
        <f t="shared" ref="AX37:AX56" si="23">AV37/AW37</f>
        <v>1.55</v>
      </c>
      <c r="AY37" s="15">
        <f t="shared" ref="AY37:AY56" si="24">AX37-1</f>
        <v>0.55000000000000004</v>
      </c>
      <c r="AZ37" s="15">
        <v>11.7</v>
      </c>
      <c r="BA37" s="15">
        <v>5</v>
      </c>
      <c r="BB37" s="15">
        <f t="shared" ref="BB37:BB40" si="25">AZ37/BA37</f>
        <v>2.34</v>
      </c>
      <c r="BC37" s="15">
        <f t="shared" ref="BC37:BC40" si="26">BB37-1</f>
        <v>1.3399999999999999</v>
      </c>
      <c r="BD37" s="15">
        <v>1.5664</v>
      </c>
      <c r="BE37" s="15">
        <v>0.75</v>
      </c>
      <c r="BF37" s="15">
        <f t="shared" ref="BF37:BF45" si="27">BD37/BE37</f>
        <v>2.0885333333333334</v>
      </c>
      <c r="BG37" s="15">
        <f t="shared" ref="BG37:BG45" si="28">BF37-1</f>
        <v>1.0885333333333334</v>
      </c>
      <c r="BH37" s="15">
        <v>1.4</v>
      </c>
      <c r="BI37" s="15">
        <v>0.18</v>
      </c>
      <c r="BJ37" s="15">
        <f t="shared" ref="BJ37:BJ50" si="29">BH37/BI37</f>
        <v>7.7777777777777777</v>
      </c>
      <c r="BK37" s="15">
        <f t="shared" ref="BK37:BK50" si="30">BJ37-1</f>
        <v>6.7777777777777777</v>
      </c>
    </row>
    <row r="38" spans="1:63" x14ac:dyDescent="0.25">
      <c r="A38" s="40">
        <v>42822</v>
      </c>
      <c r="B38" s="9">
        <v>6.3</v>
      </c>
      <c r="C38" s="9">
        <v>11.25</v>
      </c>
      <c r="D38" s="9">
        <v>32.379999999999995</v>
      </c>
      <c r="E38" s="9">
        <v>5.8</v>
      </c>
      <c r="F38" s="9">
        <v>4.4000000000000004</v>
      </c>
      <c r="G38" s="9">
        <v>10.4</v>
      </c>
      <c r="H38" s="9">
        <v>17.899999999999999</v>
      </c>
      <c r="I38" s="9">
        <v>0.3</v>
      </c>
      <c r="J38" s="9">
        <v>0.3</v>
      </c>
      <c r="K38" s="16">
        <v>0</v>
      </c>
      <c r="L38" s="12" t="s">
        <v>18</v>
      </c>
      <c r="M38" s="13">
        <f>COUNTIF(M37:V37,"&gt;0")</f>
        <v>7</v>
      </c>
      <c r="N38" s="13"/>
      <c r="O38" s="13"/>
      <c r="P38" s="13"/>
      <c r="Q38" s="13"/>
      <c r="R38" s="13"/>
      <c r="S38" s="13"/>
      <c r="T38" s="13"/>
      <c r="U38" s="13"/>
      <c r="V38" s="14"/>
      <c r="X38" s="15"/>
      <c r="Y38" s="15"/>
      <c r="Z38" s="15"/>
      <c r="AA38" s="15"/>
      <c r="AB38" s="15">
        <v>61.9</v>
      </c>
      <c r="AC38" s="15">
        <v>30</v>
      </c>
      <c r="AD38" s="15">
        <f t="shared" si="17"/>
        <v>2.0633333333333335</v>
      </c>
      <c r="AE38" s="15">
        <f t="shared" si="18"/>
        <v>1.0633333333333335</v>
      </c>
      <c r="AF38" s="15">
        <v>702</v>
      </c>
      <c r="AG38" s="15">
        <v>500</v>
      </c>
      <c r="AH38" s="15">
        <f t="shared" si="19"/>
        <v>1.4039999999999999</v>
      </c>
      <c r="AI38" s="15">
        <f t="shared" si="20"/>
        <v>0.40399999999999991</v>
      </c>
      <c r="AJ38" s="15">
        <v>166</v>
      </c>
      <c r="AK38" s="15">
        <v>75</v>
      </c>
      <c r="AL38" s="15">
        <f t="shared" si="21"/>
        <v>2.2133333333333334</v>
      </c>
      <c r="AM38" s="15">
        <f t="shared" si="22"/>
        <v>1.2133333333333334</v>
      </c>
      <c r="AN38" s="15"/>
      <c r="AO38" s="15"/>
      <c r="AP38" s="15"/>
      <c r="AQ38" s="15"/>
      <c r="AR38" s="15"/>
      <c r="AS38" s="15"/>
      <c r="AT38" s="15"/>
      <c r="AU38" s="15"/>
      <c r="AV38" s="15">
        <v>181.8</v>
      </c>
      <c r="AW38" s="15">
        <v>80</v>
      </c>
      <c r="AX38" s="15">
        <f t="shared" si="23"/>
        <v>2.2725</v>
      </c>
      <c r="AY38" s="15">
        <f t="shared" si="24"/>
        <v>1.2725</v>
      </c>
      <c r="AZ38" s="15">
        <v>15.1</v>
      </c>
      <c r="BA38" s="15">
        <v>5</v>
      </c>
      <c r="BB38" s="15">
        <f t="shared" si="25"/>
        <v>3.02</v>
      </c>
      <c r="BC38" s="15">
        <f t="shared" si="26"/>
        <v>2.02</v>
      </c>
      <c r="BD38" s="15">
        <v>4</v>
      </c>
      <c r="BE38" s="15">
        <v>0.75</v>
      </c>
      <c r="BF38" s="15">
        <f t="shared" si="27"/>
        <v>5.333333333333333</v>
      </c>
      <c r="BG38" s="15">
        <f t="shared" si="28"/>
        <v>4.333333333333333</v>
      </c>
      <c r="BH38" s="15">
        <v>2</v>
      </c>
      <c r="BI38" s="15">
        <v>0.18</v>
      </c>
      <c r="BJ38" s="15">
        <f t="shared" si="29"/>
        <v>11.111111111111111</v>
      </c>
      <c r="BK38" s="15">
        <f t="shared" si="30"/>
        <v>10.111111111111111</v>
      </c>
    </row>
    <row r="39" spans="1:63" ht="15.75" thickBot="1" x14ac:dyDescent="0.3">
      <c r="A39" s="40">
        <v>43036</v>
      </c>
      <c r="B39" s="9">
        <v>7</v>
      </c>
      <c r="C39" s="9">
        <v>52.1</v>
      </c>
      <c r="D39" s="9">
        <v>190.63</v>
      </c>
      <c r="E39" s="9">
        <v>28.1</v>
      </c>
      <c r="F39" s="9">
        <v>27.6</v>
      </c>
      <c r="G39" s="9">
        <v>14.5</v>
      </c>
      <c r="H39" s="9">
        <v>159</v>
      </c>
      <c r="I39" s="9">
        <v>7.0000000000000007E-2</v>
      </c>
      <c r="J39" s="9">
        <v>0.2</v>
      </c>
      <c r="K39" s="16">
        <v>0</v>
      </c>
      <c r="L39" s="12" t="s">
        <v>19</v>
      </c>
      <c r="M39" s="13">
        <f>COUNT(M36:V36)</f>
        <v>10</v>
      </c>
      <c r="N39" s="13"/>
      <c r="O39" s="13"/>
      <c r="P39" s="13"/>
      <c r="Q39" s="13"/>
      <c r="R39" s="13"/>
      <c r="S39" s="13"/>
      <c r="T39" s="13"/>
      <c r="U39" s="13"/>
      <c r="V39" s="14"/>
      <c r="X39" s="15"/>
      <c r="Y39" s="15"/>
      <c r="Z39" s="15"/>
      <c r="AA39" s="15"/>
      <c r="AB39" s="15">
        <v>31.6</v>
      </c>
      <c r="AC39" s="15">
        <v>30</v>
      </c>
      <c r="AD39" s="15">
        <f t="shared" si="17"/>
        <v>1.0533333333333335</v>
      </c>
      <c r="AE39" s="15">
        <f t="shared" si="18"/>
        <v>5.3333333333333455E-2</v>
      </c>
      <c r="AF39" s="15">
        <v>518</v>
      </c>
      <c r="AG39" s="15">
        <v>500</v>
      </c>
      <c r="AH39" s="15">
        <f t="shared" si="19"/>
        <v>1.036</v>
      </c>
      <c r="AI39" s="15">
        <f t="shared" si="20"/>
        <v>3.6000000000000032E-2</v>
      </c>
      <c r="AJ39" s="15">
        <v>235</v>
      </c>
      <c r="AK39" s="15">
        <v>75</v>
      </c>
      <c r="AL39" s="15">
        <f t="shared" si="21"/>
        <v>3.1333333333333333</v>
      </c>
      <c r="AM39" s="15">
        <f t="shared" si="22"/>
        <v>2.1333333333333333</v>
      </c>
      <c r="AN39" s="15"/>
      <c r="AO39" s="15"/>
      <c r="AP39" s="15"/>
      <c r="AQ39" s="15"/>
      <c r="AR39" s="15"/>
      <c r="AS39" s="15"/>
      <c r="AT39" s="15"/>
      <c r="AU39" s="15"/>
      <c r="AV39" s="15">
        <v>165</v>
      </c>
      <c r="AW39" s="15">
        <v>80</v>
      </c>
      <c r="AX39" s="15">
        <f t="shared" si="23"/>
        <v>2.0625</v>
      </c>
      <c r="AY39" s="15">
        <f t="shared" si="24"/>
        <v>1.0625</v>
      </c>
      <c r="AZ39" s="15">
        <v>20.5</v>
      </c>
      <c r="BA39" s="15">
        <v>5</v>
      </c>
      <c r="BB39" s="15">
        <f t="shared" si="25"/>
        <v>4.0999999999999996</v>
      </c>
      <c r="BC39" s="15">
        <f t="shared" si="26"/>
        <v>3.0999999999999996</v>
      </c>
      <c r="BD39" s="15">
        <v>2.11</v>
      </c>
      <c r="BE39" s="15">
        <v>0.75</v>
      </c>
      <c r="BF39" s="15">
        <f t="shared" si="27"/>
        <v>2.813333333333333</v>
      </c>
      <c r="BG39" s="15">
        <f t="shared" si="28"/>
        <v>1.813333333333333</v>
      </c>
      <c r="BH39" s="15">
        <v>1</v>
      </c>
      <c r="BI39" s="15">
        <v>0.18</v>
      </c>
      <c r="BJ39" s="15">
        <f t="shared" si="29"/>
        <v>5.5555555555555554</v>
      </c>
      <c r="BK39" s="15">
        <f t="shared" si="30"/>
        <v>4.5555555555555554</v>
      </c>
    </row>
    <row r="40" spans="1:63" x14ac:dyDescent="0.25">
      <c r="A40" s="40">
        <v>43067</v>
      </c>
      <c r="B40" s="37">
        <v>7.24</v>
      </c>
      <c r="C40" s="37">
        <v>58.3</v>
      </c>
      <c r="D40" s="37">
        <v>181.2</v>
      </c>
      <c r="E40" s="37">
        <v>7.1044999999999998</v>
      </c>
      <c r="F40" s="37">
        <v>6.2561</v>
      </c>
      <c r="G40" s="37">
        <v>5.65</v>
      </c>
      <c r="H40" s="37">
        <v>124</v>
      </c>
      <c r="I40" s="37">
        <v>0.16259999999999999</v>
      </c>
      <c r="J40" s="37">
        <v>1.5664</v>
      </c>
      <c r="K40" s="41">
        <v>0.04</v>
      </c>
      <c r="L40" s="12" t="s">
        <v>20</v>
      </c>
      <c r="M40" s="13">
        <f>COUNT(B36:K65)</f>
        <v>300</v>
      </c>
      <c r="N40" s="13"/>
      <c r="O40" s="13"/>
      <c r="P40" s="13"/>
      <c r="Q40" s="13"/>
      <c r="R40" s="13"/>
      <c r="S40" s="13"/>
      <c r="T40" s="13"/>
      <c r="U40" s="13"/>
      <c r="V40" s="14"/>
      <c r="X40" s="15"/>
      <c r="Y40" s="15"/>
      <c r="Z40" s="15"/>
      <c r="AA40" s="15"/>
      <c r="AB40" s="15">
        <v>46.4</v>
      </c>
      <c r="AC40" s="15">
        <v>30</v>
      </c>
      <c r="AD40" s="15">
        <f t="shared" si="17"/>
        <v>1.5466666666666666</v>
      </c>
      <c r="AE40" s="15">
        <f t="shared" si="18"/>
        <v>0.54666666666666663</v>
      </c>
      <c r="AF40" s="15">
        <v>622</v>
      </c>
      <c r="AG40" s="15">
        <v>500</v>
      </c>
      <c r="AH40" s="15">
        <f t="shared" si="19"/>
        <v>1.244</v>
      </c>
      <c r="AI40" s="15">
        <f t="shared" si="20"/>
        <v>0.24399999999999999</v>
      </c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>
        <v>132</v>
      </c>
      <c r="AW40" s="15">
        <v>80</v>
      </c>
      <c r="AX40" s="15">
        <f t="shared" si="23"/>
        <v>1.65</v>
      </c>
      <c r="AY40" s="15">
        <f t="shared" si="24"/>
        <v>0.64999999999999991</v>
      </c>
      <c r="AZ40" s="15">
        <v>41.4</v>
      </c>
      <c r="BA40" s="15">
        <v>5</v>
      </c>
      <c r="BB40" s="15">
        <f t="shared" si="25"/>
        <v>8.2799999999999994</v>
      </c>
      <c r="BC40" s="15">
        <f t="shared" si="26"/>
        <v>7.2799999999999994</v>
      </c>
      <c r="BD40" s="15">
        <v>1.61</v>
      </c>
      <c r="BE40" s="15">
        <v>0.75</v>
      </c>
      <c r="BF40" s="15">
        <f t="shared" si="27"/>
        <v>2.1466666666666669</v>
      </c>
      <c r="BG40" s="15">
        <f t="shared" si="28"/>
        <v>1.1466666666666669</v>
      </c>
      <c r="BH40" s="15">
        <v>5.0199999999999996</v>
      </c>
      <c r="BI40" s="15">
        <v>0.18</v>
      </c>
      <c r="BJ40" s="15">
        <f t="shared" si="29"/>
        <v>27.888888888888889</v>
      </c>
      <c r="BK40" s="15">
        <f t="shared" si="30"/>
        <v>26.888888888888889</v>
      </c>
    </row>
    <row r="41" spans="1:63" ht="15.75" thickBot="1" x14ac:dyDescent="0.3">
      <c r="A41" s="42">
        <v>43097</v>
      </c>
      <c r="B41" s="43">
        <v>7.23</v>
      </c>
      <c r="C41" s="43">
        <v>61.9</v>
      </c>
      <c r="D41" s="43">
        <v>222.68</v>
      </c>
      <c r="E41" s="43">
        <v>39.6</v>
      </c>
      <c r="F41" s="43">
        <v>34.799999999999997</v>
      </c>
      <c r="G41" s="43">
        <v>17.100000000000001</v>
      </c>
      <c r="H41" s="43">
        <v>181.8</v>
      </c>
      <c r="I41" s="43">
        <v>0.12</v>
      </c>
      <c r="J41" s="43">
        <v>-0.05</v>
      </c>
      <c r="K41" s="44">
        <v>-0.05</v>
      </c>
      <c r="L41" s="19" t="s">
        <v>21</v>
      </c>
      <c r="M41" s="13">
        <f>SUM(M37:V37)</f>
        <v>90</v>
      </c>
      <c r="N41" s="13"/>
      <c r="O41" s="13"/>
      <c r="P41" s="13"/>
      <c r="Q41" s="13"/>
      <c r="R41" s="13"/>
      <c r="S41" s="13"/>
      <c r="T41" s="13"/>
      <c r="U41" s="13"/>
      <c r="V41" s="14"/>
      <c r="X41" s="15"/>
      <c r="Y41" s="15"/>
      <c r="Z41" s="15"/>
      <c r="AA41" s="15"/>
      <c r="AB41" s="15">
        <v>38.9</v>
      </c>
      <c r="AC41" s="15">
        <v>30</v>
      </c>
      <c r="AD41" s="15">
        <f t="shared" si="17"/>
        <v>1.2966666666666666</v>
      </c>
      <c r="AE41" s="15">
        <f t="shared" si="18"/>
        <v>0.29666666666666663</v>
      </c>
      <c r="AF41" s="15">
        <v>748</v>
      </c>
      <c r="AG41" s="15">
        <v>500</v>
      </c>
      <c r="AH41" s="15">
        <f t="shared" si="19"/>
        <v>1.496</v>
      </c>
      <c r="AI41" s="15">
        <f t="shared" si="20"/>
        <v>0.496</v>
      </c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>
        <v>109</v>
      </c>
      <c r="AW41" s="15">
        <v>80</v>
      </c>
      <c r="AX41" s="15">
        <f t="shared" si="23"/>
        <v>1.3625</v>
      </c>
      <c r="AY41" s="15">
        <f t="shared" si="24"/>
        <v>0.36250000000000004</v>
      </c>
      <c r="AZ41" s="15"/>
      <c r="BA41" s="15"/>
      <c r="BB41" s="15"/>
      <c r="BC41" s="15"/>
      <c r="BD41" s="20">
        <v>7.34</v>
      </c>
      <c r="BE41" s="15">
        <v>0.75</v>
      </c>
      <c r="BF41" s="15">
        <f t="shared" si="27"/>
        <v>9.7866666666666671</v>
      </c>
      <c r="BG41" s="15">
        <f t="shared" si="28"/>
        <v>8.7866666666666671</v>
      </c>
      <c r="BH41" s="15">
        <v>4.41</v>
      </c>
      <c r="BI41" s="15">
        <v>0.18</v>
      </c>
      <c r="BJ41" s="15">
        <f t="shared" si="29"/>
        <v>24.5</v>
      </c>
      <c r="BK41" s="15">
        <f t="shared" si="30"/>
        <v>23.5</v>
      </c>
    </row>
    <row r="42" spans="1:63" x14ac:dyDescent="0.25">
      <c r="A42" s="45">
        <v>43128</v>
      </c>
      <c r="B42" s="46">
        <v>6.3</v>
      </c>
      <c r="C42" s="46">
        <v>20.91</v>
      </c>
      <c r="D42" s="46">
        <v>60.529999999999994</v>
      </c>
      <c r="E42" s="46">
        <v>9.8000000000000007</v>
      </c>
      <c r="F42" s="46">
        <v>8</v>
      </c>
      <c r="G42" s="46">
        <v>8.1999999999999993</v>
      </c>
      <c r="H42" s="46">
        <v>45.9</v>
      </c>
      <c r="I42" s="46">
        <v>0.15</v>
      </c>
      <c r="J42" s="46">
        <v>0.4</v>
      </c>
      <c r="K42" s="47">
        <v>0</v>
      </c>
      <c r="L42" s="19" t="s">
        <v>22</v>
      </c>
      <c r="M42" s="13">
        <f>SUM(AE36:AE58,AI36:AI47,AM36:AM39,AY36:AY56,BC36:BC40,BG36:BG45,BK36:BK50)</f>
        <v>643.19317734222227</v>
      </c>
      <c r="N42" s="13"/>
      <c r="O42" s="13"/>
      <c r="P42" s="13"/>
      <c r="Q42" s="13"/>
      <c r="R42" s="13"/>
      <c r="S42" s="13"/>
      <c r="T42" s="13"/>
      <c r="U42" s="13"/>
      <c r="V42" s="14"/>
      <c r="X42" s="15"/>
      <c r="Y42" s="15"/>
      <c r="Z42" s="15"/>
      <c r="AA42" s="15"/>
      <c r="AB42" s="15">
        <v>53.5</v>
      </c>
      <c r="AC42" s="15">
        <v>30</v>
      </c>
      <c r="AD42" s="15">
        <f t="shared" si="17"/>
        <v>1.7833333333333334</v>
      </c>
      <c r="AE42" s="15">
        <f t="shared" si="18"/>
        <v>0.78333333333333344</v>
      </c>
      <c r="AF42" s="15">
        <v>1269.8079600000001</v>
      </c>
      <c r="AG42" s="15">
        <v>500</v>
      </c>
      <c r="AH42" s="15">
        <f t="shared" si="19"/>
        <v>2.5396159200000001</v>
      </c>
      <c r="AI42" s="15">
        <f t="shared" si="20"/>
        <v>1.5396159200000001</v>
      </c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5">
        <v>91.9</v>
      </c>
      <c r="AW42" s="15">
        <v>80</v>
      </c>
      <c r="AX42" s="15">
        <f t="shared" si="23"/>
        <v>1.1487500000000002</v>
      </c>
      <c r="AY42" s="15">
        <f t="shared" si="24"/>
        <v>0.14875000000000016</v>
      </c>
      <c r="AZ42" s="15"/>
      <c r="BA42" s="15"/>
      <c r="BB42" s="15"/>
      <c r="BC42" s="15"/>
      <c r="BD42" s="20">
        <v>6.08</v>
      </c>
      <c r="BE42" s="15">
        <v>0.75</v>
      </c>
      <c r="BF42" s="15">
        <f t="shared" si="27"/>
        <v>8.1066666666666674</v>
      </c>
      <c r="BG42" s="15">
        <f t="shared" si="28"/>
        <v>7.1066666666666674</v>
      </c>
      <c r="BH42" s="15">
        <v>5.14</v>
      </c>
      <c r="BI42" s="15">
        <v>0.18</v>
      </c>
      <c r="BJ42" s="15">
        <f t="shared" si="29"/>
        <v>28.555555555555554</v>
      </c>
      <c r="BK42" s="15">
        <f t="shared" si="30"/>
        <v>27.555555555555554</v>
      </c>
    </row>
    <row r="43" spans="1:63" x14ac:dyDescent="0.25">
      <c r="A43" s="48">
        <v>43159</v>
      </c>
      <c r="B43" s="15">
        <v>6.8</v>
      </c>
      <c r="C43" s="15">
        <v>24.880000000000003</v>
      </c>
      <c r="D43" s="15">
        <v>70.16</v>
      </c>
      <c r="E43" s="15">
        <v>12.1</v>
      </c>
      <c r="F43" s="15">
        <v>11.5</v>
      </c>
      <c r="G43" s="15">
        <v>6.7</v>
      </c>
      <c r="H43" s="15">
        <v>56.1</v>
      </c>
      <c r="I43" s="15">
        <v>0</v>
      </c>
      <c r="J43" s="15">
        <v>0.1</v>
      </c>
      <c r="K43" s="22">
        <v>0</v>
      </c>
      <c r="L43" s="12" t="s">
        <v>23</v>
      </c>
      <c r="M43" s="23">
        <f>M38*100/M39</f>
        <v>70</v>
      </c>
      <c r="N43" s="13"/>
      <c r="O43" s="13"/>
      <c r="P43" s="13"/>
      <c r="Q43" s="13"/>
      <c r="R43" s="13"/>
      <c r="S43" s="13"/>
      <c r="T43" s="13"/>
      <c r="U43" s="13"/>
      <c r="V43" s="14"/>
      <c r="X43" s="15"/>
      <c r="Y43" s="15"/>
      <c r="Z43" s="15"/>
      <c r="AA43" s="15"/>
      <c r="AB43" s="15">
        <v>33.700000000000003</v>
      </c>
      <c r="AC43" s="15">
        <v>30</v>
      </c>
      <c r="AD43" s="15">
        <f t="shared" si="17"/>
        <v>1.1233333333333335</v>
      </c>
      <c r="AE43" s="15">
        <f t="shared" si="18"/>
        <v>0.12333333333333352</v>
      </c>
      <c r="AF43" s="15">
        <v>1527.08</v>
      </c>
      <c r="AG43" s="15">
        <v>500</v>
      </c>
      <c r="AH43" s="15">
        <f t="shared" si="19"/>
        <v>3.05416</v>
      </c>
      <c r="AI43" s="15">
        <f t="shared" si="20"/>
        <v>2.05416</v>
      </c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  <c r="AU43" s="15"/>
      <c r="AV43" s="15">
        <v>403</v>
      </c>
      <c r="AW43" s="15">
        <v>80</v>
      </c>
      <c r="AX43" s="15">
        <f t="shared" si="23"/>
        <v>5.0374999999999996</v>
      </c>
      <c r="AY43" s="15">
        <f t="shared" si="24"/>
        <v>4.0374999999999996</v>
      </c>
      <c r="AZ43" s="15"/>
      <c r="BA43" s="15"/>
      <c r="BB43" s="15"/>
      <c r="BC43" s="15"/>
      <c r="BD43" s="15">
        <v>6.11</v>
      </c>
      <c r="BE43" s="15">
        <v>0.75</v>
      </c>
      <c r="BF43" s="15">
        <f t="shared" si="27"/>
        <v>8.1466666666666665</v>
      </c>
      <c r="BG43" s="15">
        <f t="shared" si="28"/>
        <v>7.1466666666666665</v>
      </c>
      <c r="BH43" s="15">
        <v>5.91</v>
      </c>
      <c r="BI43" s="15">
        <v>0.18</v>
      </c>
      <c r="BJ43" s="15">
        <f t="shared" si="29"/>
        <v>32.833333333333336</v>
      </c>
      <c r="BK43" s="15">
        <f t="shared" si="30"/>
        <v>31.833333333333336</v>
      </c>
    </row>
    <row r="44" spans="1:63" x14ac:dyDescent="0.25">
      <c r="A44" s="48">
        <v>43187</v>
      </c>
      <c r="B44" s="15">
        <v>6.6</v>
      </c>
      <c r="C44" s="15">
        <v>31.6</v>
      </c>
      <c r="D44" s="15">
        <v>63.609999999999992</v>
      </c>
      <c r="E44" s="15">
        <v>16</v>
      </c>
      <c r="F44" s="15">
        <v>14.1</v>
      </c>
      <c r="G44" s="15">
        <v>9.1999999999999993</v>
      </c>
      <c r="H44" s="15">
        <v>39.299999999999997</v>
      </c>
      <c r="I44" s="15">
        <v>0.11</v>
      </c>
      <c r="J44" s="15">
        <v>4</v>
      </c>
      <c r="K44" s="22">
        <v>1.4</v>
      </c>
      <c r="L44" s="12" t="s">
        <v>24</v>
      </c>
      <c r="M44" s="23">
        <f>M41*100/M40</f>
        <v>30</v>
      </c>
      <c r="N44" s="13"/>
      <c r="O44" s="13"/>
      <c r="P44" s="13"/>
      <c r="Q44" s="13"/>
      <c r="R44" s="13"/>
      <c r="S44" s="13"/>
      <c r="T44" s="13"/>
      <c r="U44" s="13"/>
      <c r="V44" s="14"/>
      <c r="X44" s="15"/>
      <c r="Y44" s="15"/>
      <c r="Z44" s="15"/>
      <c r="AA44" s="15"/>
      <c r="AB44" s="15">
        <v>32.4</v>
      </c>
      <c r="AC44" s="15">
        <v>30</v>
      </c>
      <c r="AD44" s="15">
        <f t="shared" si="17"/>
        <v>1.0799999999999998</v>
      </c>
      <c r="AE44" s="15">
        <f t="shared" si="18"/>
        <v>7.9999999999999849E-2</v>
      </c>
      <c r="AF44" s="15">
        <v>1655.61</v>
      </c>
      <c r="AG44" s="15">
        <v>500</v>
      </c>
      <c r="AH44" s="15">
        <f t="shared" si="19"/>
        <v>3.3112199999999996</v>
      </c>
      <c r="AI44" s="15">
        <f t="shared" si="20"/>
        <v>2.3112199999999996</v>
      </c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>
        <v>381</v>
      </c>
      <c r="AW44" s="15">
        <v>80</v>
      </c>
      <c r="AX44" s="15">
        <f t="shared" si="23"/>
        <v>4.7625000000000002</v>
      </c>
      <c r="AY44" s="15">
        <f t="shared" si="24"/>
        <v>3.7625000000000002</v>
      </c>
      <c r="AZ44" s="15"/>
      <c r="BA44" s="15"/>
      <c r="BB44" s="15"/>
      <c r="BC44" s="15"/>
      <c r="BD44" s="15">
        <v>12.3</v>
      </c>
      <c r="BE44" s="15">
        <v>0.75</v>
      </c>
      <c r="BF44" s="15">
        <f t="shared" si="27"/>
        <v>16.400000000000002</v>
      </c>
      <c r="BG44" s="15">
        <f t="shared" si="28"/>
        <v>15.400000000000002</v>
      </c>
      <c r="BH44" s="15">
        <v>10.6</v>
      </c>
      <c r="BI44" s="15">
        <v>0.18</v>
      </c>
      <c r="BJ44" s="15">
        <f t="shared" si="29"/>
        <v>58.888888888888886</v>
      </c>
      <c r="BK44" s="15">
        <f t="shared" si="30"/>
        <v>57.888888888888886</v>
      </c>
    </row>
    <row r="45" spans="1:63" x14ac:dyDescent="0.25">
      <c r="A45" s="48">
        <v>43398</v>
      </c>
      <c r="B45" s="15">
        <v>7.23</v>
      </c>
      <c r="C45" s="15">
        <v>46.4</v>
      </c>
      <c r="D45" s="15">
        <v>316</v>
      </c>
      <c r="E45" s="15">
        <v>28.7</v>
      </c>
      <c r="F45" s="15">
        <v>25</v>
      </c>
      <c r="G45" s="15">
        <v>18.100000000000001</v>
      </c>
      <c r="H45" s="15">
        <v>165</v>
      </c>
      <c r="I45" s="15">
        <v>0.09</v>
      </c>
      <c r="J45" s="15">
        <v>0.2</v>
      </c>
      <c r="K45" s="22">
        <v>0.01</v>
      </c>
      <c r="L45" s="12" t="s">
        <v>25</v>
      </c>
      <c r="M45" s="13">
        <f>M42/M40</f>
        <v>2.1439772578074074</v>
      </c>
      <c r="N45" s="13"/>
      <c r="O45" s="13"/>
      <c r="P45" s="13"/>
      <c r="Q45" s="13"/>
      <c r="R45" s="13"/>
      <c r="S45" s="13"/>
      <c r="T45" s="13"/>
      <c r="U45" s="13"/>
      <c r="V45" s="14"/>
      <c r="X45" s="15"/>
      <c r="Y45" s="15"/>
      <c r="Z45" s="15"/>
      <c r="AA45" s="15"/>
      <c r="AB45" s="15">
        <v>33.6</v>
      </c>
      <c r="AC45" s="15">
        <v>30</v>
      </c>
      <c r="AD45" s="15">
        <f t="shared" si="17"/>
        <v>1.1200000000000001</v>
      </c>
      <c r="AE45" s="15">
        <f t="shared" si="18"/>
        <v>0.12000000000000011</v>
      </c>
      <c r="AF45" s="15">
        <v>2117.2046</v>
      </c>
      <c r="AG45" s="15">
        <v>500</v>
      </c>
      <c r="AH45" s="15">
        <f t="shared" si="19"/>
        <v>4.2344092</v>
      </c>
      <c r="AI45" s="15">
        <f t="shared" si="20"/>
        <v>3.2344092</v>
      </c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>
        <v>400</v>
      </c>
      <c r="AW45" s="15">
        <v>80</v>
      </c>
      <c r="AX45" s="15">
        <f t="shared" si="23"/>
        <v>5</v>
      </c>
      <c r="AY45" s="15">
        <f t="shared" si="24"/>
        <v>4</v>
      </c>
      <c r="AZ45" s="15"/>
      <c r="BA45" s="15"/>
      <c r="BB45" s="15"/>
      <c r="BC45" s="15"/>
      <c r="BD45" s="15">
        <v>1.52</v>
      </c>
      <c r="BE45" s="15">
        <v>0.75</v>
      </c>
      <c r="BF45" s="15">
        <f t="shared" si="27"/>
        <v>2.0266666666666668</v>
      </c>
      <c r="BG45" s="15">
        <f t="shared" si="28"/>
        <v>1.0266666666666668</v>
      </c>
      <c r="BH45" s="15">
        <v>17.3</v>
      </c>
      <c r="BI45" s="15">
        <v>0.18</v>
      </c>
      <c r="BJ45" s="15">
        <f t="shared" si="29"/>
        <v>96.111111111111114</v>
      </c>
      <c r="BK45" s="15">
        <f t="shared" si="30"/>
        <v>95.111111111111114</v>
      </c>
    </row>
    <row r="46" spans="1:63" x14ac:dyDescent="0.25">
      <c r="A46" s="48">
        <v>43424</v>
      </c>
      <c r="B46" s="15">
        <v>6.8</v>
      </c>
      <c r="C46" s="15">
        <v>38.9</v>
      </c>
      <c r="D46" s="15">
        <v>320</v>
      </c>
      <c r="E46" s="15">
        <v>25.5</v>
      </c>
      <c r="F46" s="15">
        <v>24.5</v>
      </c>
      <c r="G46" s="15">
        <v>18.399999999999999</v>
      </c>
      <c r="H46" s="15">
        <v>132</v>
      </c>
      <c r="I46" s="15">
        <v>0.04</v>
      </c>
      <c r="J46" s="15">
        <v>0.52</v>
      </c>
      <c r="K46" s="22">
        <v>0.16</v>
      </c>
      <c r="L46" s="19" t="s">
        <v>26</v>
      </c>
      <c r="M46" s="23">
        <f>M45/(0.01*(M45+1))</f>
        <v>68.193154148405185</v>
      </c>
      <c r="N46" s="13"/>
      <c r="O46" s="13"/>
      <c r="P46" s="13"/>
      <c r="Q46" s="13"/>
      <c r="R46" s="13"/>
      <c r="S46" s="13"/>
      <c r="T46" s="13"/>
      <c r="U46" s="13"/>
      <c r="V46" s="14"/>
      <c r="X46" s="15"/>
      <c r="Y46" s="15"/>
      <c r="Z46" s="15"/>
      <c r="AA46" s="15"/>
      <c r="AB46" s="15">
        <v>84</v>
      </c>
      <c r="AC46" s="15">
        <v>30</v>
      </c>
      <c r="AD46" s="15">
        <f t="shared" si="17"/>
        <v>2.8</v>
      </c>
      <c r="AE46" s="15">
        <f t="shared" si="18"/>
        <v>1.7999999999999998</v>
      </c>
      <c r="AF46" s="15">
        <v>545.49</v>
      </c>
      <c r="AG46" s="15">
        <v>500</v>
      </c>
      <c r="AH46" s="15">
        <f t="shared" si="19"/>
        <v>1.0909800000000001</v>
      </c>
      <c r="AI46" s="15">
        <f t="shared" si="20"/>
        <v>9.0980000000000061E-2</v>
      </c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  <c r="AU46" s="15"/>
      <c r="AV46" s="15">
        <v>299</v>
      </c>
      <c r="AW46" s="15">
        <v>80</v>
      </c>
      <c r="AX46" s="15">
        <f t="shared" si="23"/>
        <v>3.7374999999999998</v>
      </c>
      <c r="AY46" s="15">
        <f t="shared" si="24"/>
        <v>2.7374999999999998</v>
      </c>
      <c r="AZ46" s="15"/>
      <c r="BA46" s="15"/>
      <c r="BB46" s="15"/>
      <c r="BC46" s="15"/>
      <c r="BD46" s="15"/>
      <c r="BE46" s="15"/>
      <c r="BF46" s="15"/>
      <c r="BG46" s="15"/>
      <c r="BH46" s="15">
        <v>15.1</v>
      </c>
      <c r="BI46" s="15">
        <v>0.18</v>
      </c>
      <c r="BJ46" s="15">
        <f t="shared" si="29"/>
        <v>83.888888888888886</v>
      </c>
      <c r="BK46" s="15">
        <f t="shared" si="30"/>
        <v>82.888888888888886</v>
      </c>
    </row>
    <row r="47" spans="1:63" ht="15.75" thickBot="1" x14ac:dyDescent="0.3">
      <c r="A47" s="49">
        <v>43453</v>
      </c>
      <c r="B47" s="50">
        <v>7.44</v>
      </c>
      <c r="C47" s="50">
        <v>53.5</v>
      </c>
      <c r="D47" s="50">
        <v>288</v>
      </c>
      <c r="E47" s="50">
        <v>24.6</v>
      </c>
      <c r="F47" s="50">
        <v>25.4</v>
      </c>
      <c r="G47" s="50">
        <v>18.600000000000001</v>
      </c>
      <c r="H47" s="50">
        <v>109</v>
      </c>
      <c r="I47" s="50">
        <v>0.03</v>
      </c>
      <c r="J47" s="50">
        <v>0.02</v>
      </c>
      <c r="K47" s="51">
        <v>0.01</v>
      </c>
      <c r="L47" s="24" t="s">
        <v>34</v>
      </c>
      <c r="M47" s="25">
        <f>100-SQRT(M43^2+M44^2+M46^2)/1.732</f>
        <v>40.977633072106869</v>
      </c>
      <c r="N47" s="26"/>
      <c r="O47" s="26"/>
      <c r="P47" s="26"/>
      <c r="Q47" s="26"/>
      <c r="R47" s="26"/>
      <c r="S47" s="26"/>
      <c r="T47" s="26"/>
      <c r="U47" s="26"/>
      <c r="V47" s="27"/>
      <c r="X47" s="15"/>
      <c r="Y47" s="15"/>
      <c r="Z47" s="15"/>
      <c r="AA47" s="15"/>
      <c r="AB47" s="15">
        <v>76.5</v>
      </c>
      <c r="AC47" s="15">
        <v>30</v>
      </c>
      <c r="AD47" s="15">
        <f t="shared" si="17"/>
        <v>2.5499999999999998</v>
      </c>
      <c r="AE47" s="15">
        <f t="shared" si="18"/>
        <v>1.5499999999999998</v>
      </c>
      <c r="AF47" s="15">
        <v>531.86</v>
      </c>
      <c r="AG47" s="15">
        <v>500</v>
      </c>
      <c r="AH47" s="15">
        <f t="shared" si="19"/>
        <v>1.06372</v>
      </c>
      <c r="AI47" s="15">
        <f t="shared" si="20"/>
        <v>6.3719999999999999E-2</v>
      </c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>
        <v>378</v>
      </c>
      <c r="AW47" s="15">
        <v>80</v>
      </c>
      <c r="AX47" s="15">
        <f t="shared" si="23"/>
        <v>4.7249999999999996</v>
      </c>
      <c r="AY47" s="15">
        <f t="shared" si="24"/>
        <v>3.7249999999999996</v>
      </c>
      <c r="AZ47" s="15"/>
      <c r="BA47" s="15"/>
      <c r="BB47" s="15"/>
      <c r="BC47" s="15"/>
      <c r="BD47" s="15"/>
      <c r="BE47" s="15"/>
      <c r="BF47" s="15"/>
      <c r="BG47" s="15"/>
      <c r="BH47" s="15">
        <v>0.24</v>
      </c>
      <c r="BI47" s="15">
        <v>0.18</v>
      </c>
      <c r="BJ47" s="15">
        <f t="shared" si="29"/>
        <v>1.3333333333333333</v>
      </c>
      <c r="BK47" s="15">
        <f t="shared" si="30"/>
        <v>0.33333333333333326</v>
      </c>
    </row>
    <row r="48" spans="1:63" x14ac:dyDescent="0.25">
      <c r="A48" s="36">
        <v>43495</v>
      </c>
      <c r="B48" s="37">
        <v>7.06</v>
      </c>
      <c r="C48" s="37">
        <v>33.700000000000003</v>
      </c>
      <c r="D48" s="37">
        <v>312</v>
      </c>
      <c r="E48" s="37">
        <v>20</v>
      </c>
      <c r="F48" s="37">
        <v>18.5</v>
      </c>
      <c r="G48" s="37">
        <v>16.2</v>
      </c>
      <c r="H48" s="37">
        <v>91.9</v>
      </c>
      <c r="I48" s="37">
        <v>0.01</v>
      </c>
      <c r="J48" s="37">
        <v>0.1</v>
      </c>
      <c r="K48" s="41">
        <v>0.03</v>
      </c>
      <c r="L48" s="5" t="s">
        <v>12</v>
      </c>
      <c r="M48" s="6" t="s">
        <v>2</v>
      </c>
      <c r="N48" s="6" t="s">
        <v>3</v>
      </c>
      <c r="O48" s="6" t="s">
        <v>4</v>
      </c>
      <c r="P48" s="6" t="s">
        <v>5</v>
      </c>
      <c r="Q48" s="6" t="s">
        <v>6</v>
      </c>
      <c r="R48" s="6" t="s">
        <v>7</v>
      </c>
      <c r="S48" s="6" t="s">
        <v>8</v>
      </c>
      <c r="T48" s="6" t="s">
        <v>9</v>
      </c>
      <c r="U48" s="6" t="s">
        <v>10</v>
      </c>
      <c r="V48" s="7" t="s">
        <v>11</v>
      </c>
      <c r="X48" s="15"/>
      <c r="Y48" s="15"/>
      <c r="Z48" s="15"/>
      <c r="AA48" s="15"/>
      <c r="AB48" s="15">
        <v>92</v>
      </c>
      <c r="AC48" s="15">
        <v>30</v>
      </c>
      <c r="AD48" s="15">
        <f t="shared" si="17"/>
        <v>3.0666666666666669</v>
      </c>
      <c r="AE48" s="15">
        <f t="shared" si="18"/>
        <v>2.0666666666666669</v>
      </c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15"/>
      <c r="AR48" s="15"/>
      <c r="AS48" s="15"/>
      <c r="AT48" s="15"/>
      <c r="AU48" s="15"/>
      <c r="AV48" s="15">
        <v>439</v>
      </c>
      <c r="AW48" s="15">
        <v>80</v>
      </c>
      <c r="AX48" s="15">
        <f t="shared" si="23"/>
        <v>5.4874999999999998</v>
      </c>
      <c r="AY48" s="15">
        <f t="shared" si="24"/>
        <v>4.4874999999999998</v>
      </c>
      <c r="AZ48" s="15"/>
      <c r="BA48" s="15"/>
      <c r="BB48" s="15"/>
      <c r="BC48" s="15"/>
      <c r="BD48" s="15"/>
      <c r="BE48" s="15"/>
      <c r="BF48" s="15"/>
      <c r="BG48" s="15"/>
      <c r="BH48" s="15">
        <v>2.6629999999999998</v>
      </c>
      <c r="BI48" s="15">
        <v>0.18</v>
      </c>
      <c r="BJ48" s="15">
        <f t="shared" si="29"/>
        <v>14.794444444444444</v>
      </c>
      <c r="BK48" s="15">
        <f t="shared" si="30"/>
        <v>13.794444444444444</v>
      </c>
    </row>
    <row r="49" spans="1:63" x14ac:dyDescent="0.25">
      <c r="A49" s="40">
        <v>43522</v>
      </c>
      <c r="B49" s="9">
        <v>7.19</v>
      </c>
      <c r="C49" s="9">
        <v>32.4</v>
      </c>
      <c r="D49" s="9">
        <v>310</v>
      </c>
      <c r="E49" s="9">
        <v>16.399999999999999</v>
      </c>
      <c r="F49" s="9">
        <v>15.7</v>
      </c>
      <c r="G49" s="9">
        <v>14.4</v>
      </c>
      <c r="H49" s="9">
        <v>75.7</v>
      </c>
      <c r="I49" s="9">
        <v>0.02</v>
      </c>
      <c r="J49" s="9">
        <v>0.08</v>
      </c>
      <c r="K49" s="16">
        <v>-0.01</v>
      </c>
      <c r="L49" s="30" t="s">
        <v>28</v>
      </c>
      <c r="M49" s="13">
        <f>AVERAGE(B36:B65)</f>
        <v>5.6196666666666681</v>
      </c>
      <c r="N49" s="13">
        <f t="shared" ref="N49:U49" si="31">AVERAGE(C36:C65)</f>
        <v>79.204666666666682</v>
      </c>
      <c r="O49" s="13">
        <f t="shared" si="31"/>
        <v>503.48356400000006</v>
      </c>
      <c r="P49" s="13">
        <f t="shared" si="31"/>
        <v>50.616816666666665</v>
      </c>
      <c r="Q49" s="13">
        <f t="shared" si="31"/>
        <v>39.683136666666663</v>
      </c>
      <c r="R49" s="13">
        <f t="shared" si="31"/>
        <v>18.708333333333332</v>
      </c>
      <c r="S49" s="13">
        <f t="shared" si="31"/>
        <v>316.97573333333338</v>
      </c>
      <c r="T49" s="13">
        <f t="shared" si="31"/>
        <v>3.3964199999999991</v>
      </c>
      <c r="U49" s="13">
        <f t="shared" si="31"/>
        <v>1.5715466666666669</v>
      </c>
      <c r="V49" s="14">
        <f>AVERAGE(K36:K65)</f>
        <v>2.6387666666666663</v>
      </c>
      <c r="X49" s="15"/>
      <c r="Y49" s="15"/>
      <c r="Z49" s="15"/>
      <c r="AA49" s="15"/>
      <c r="AB49" s="15">
        <v>79.5</v>
      </c>
      <c r="AC49" s="15">
        <v>30</v>
      </c>
      <c r="AD49" s="15">
        <f t="shared" si="17"/>
        <v>2.65</v>
      </c>
      <c r="AE49" s="15">
        <f t="shared" si="18"/>
        <v>1.65</v>
      </c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>
        <v>881</v>
      </c>
      <c r="AW49" s="15">
        <v>80</v>
      </c>
      <c r="AX49" s="15">
        <f t="shared" si="23"/>
        <v>11.012499999999999</v>
      </c>
      <c r="AY49" s="15">
        <f t="shared" si="24"/>
        <v>10.012499999999999</v>
      </c>
      <c r="AZ49" s="15"/>
      <c r="BA49" s="15"/>
      <c r="BB49" s="15"/>
      <c r="BC49" s="15"/>
      <c r="BD49" s="15"/>
      <c r="BE49" s="15"/>
      <c r="BF49" s="15"/>
      <c r="BG49" s="15"/>
      <c r="BH49" s="15">
        <v>3.01</v>
      </c>
      <c r="BI49" s="15">
        <v>0.18</v>
      </c>
      <c r="BJ49" s="15">
        <f t="shared" si="29"/>
        <v>16.722222222222221</v>
      </c>
      <c r="BK49" s="15">
        <f t="shared" si="30"/>
        <v>15.722222222222221</v>
      </c>
    </row>
    <row r="50" spans="1:63" x14ac:dyDescent="0.25">
      <c r="A50" s="40">
        <v>43551</v>
      </c>
      <c r="B50" s="9">
        <v>6.82</v>
      </c>
      <c r="C50" s="9">
        <v>33.6</v>
      </c>
      <c r="D50" s="9">
        <v>308</v>
      </c>
      <c r="E50" s="9">
        <v>19.2</v>
      </c>
      <c r="F50" s="9">
        <v>18.3</v>
      </c>
      <c r="G50" s="9">
        <v>16.5</v>
      </c>
      <c r="H50" s="9">
        <v>75.599999999999994</v>
      </c>
      <c r="I50" s="9">
        <v>0.02</v>
      </c>
      <c r="J50" s="9">
        <v>2.11</v>
      </c>
      <c r="K50" s="16">
        <v>7.0000000000000007E-2</v>
      </c>
      <c r="L50" s="12" t="s">
        <v>16</v>
      </c>
      <c r="M50" s="13">
        <v>8</v>
      </c>
      <c r="N50" s="13">
        <v>30</v>
      </c>
      <c r="O50" s="13">
        <v>500</v>
      </c>
      <c r="P50" s="13">
        <v>75</v>
      </c>
      <c r="Q50" s="13">
        <v>500</v>
      </c>
      <c r="R50" s="13">
        <v>2000</v>
      </c>
      <c r="S50" s="13">
        <v>80</v>
      </c>
      <c r="T50" s="13">
        <v>5</v>
      </c>
      <c r="U50" s="13">
        <v>0.75</v>
      </c>
      <c r="V50" s="14">
        <v>0.18</v>
      </c>
      <c r="X50" s="15"/>
      <c r="Y50" s="15"/>
      <c r="Z50" s="15"/>
      <c r="AA50" s="15"/>
      <c r="AB50" s="15">
        <v>89.2</v>
      </c>
      <c r="AC50" s="15">
        <v>30</v>
      </c>
      <c r="AD50" s="15">
        <f t="shared" si="17"/>
        <v>2.9733333333333336</v>
      </c>
      <c r="AE50" s="15">
        <f t="shared" si="18"/>
        <v>1.9733333333333336</v>
      </c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>
        <v>1072</v>
      </c>
      <c r="AW50" s="15">
        <v>80</v>
      </c>
      <c r="AX50" s="15">
        <f t="shared" si="23"/>
        <v>13.4</v>
      </c>
      <c r="AY50" s="15">
        <f t="shared" si="24"/>
        <v>12.4</v>
      </c>
      <c r="AZ50" s="15"/>
      <c r="BA50" s="15"/>
      <c r="BB50" s="15"/>
      <c r="BC50" s="15"/>
      <c r="BD50" s="15"/>
      <c r="BE50" s="15"/>
      <c r="BF50" s="15"/>
      <c r="BG50" s="15"/>
      <c r="BH50" s="15">
        <v>2.74</v>
      </c>
      <c r="BI50" s="15">
        <v>0.18</v>
      </c>
      <c r="BJ50" s="15">
        <f t="shared" si="29"/>
        <v>15.222222222222223</v>
      </c>
      <c r="BK50" s="15">
        <f t="shared" si="30"/>
        <v>14.222222222222223</v>
      </c>
    </row>
    <row r="51" spans="1:63" x14ac:dyDescent="0.25">
      <c r="A51" s="40">
        <v>43766</v>
      </c>
      <c r="B51" s="9">
        <v>6.71</v>
      </c>
      <c r="C51" s="9">
        <v>84</v>
      </c>
      <c r="D51" s="9">
        <v>660</v>
      </c>
      <c r="E51" s="9">
        <v>64</v>
      </c>
      <c r="F51" s="9">
        <v>53.7</v>
      </c>
      <c r="G51" s="9">
        <v>21.6</v>
      </c>
      <c r="H51" s="9">
        <v>403</v>
      </c>
      <c r="I51" s="52">
        <v>0.04</v>
      </c>
      <c r="J51" s="52">
        <v>0.33</v>
      </c>
      <c r="K51" s="53">
        <v>2</v>
      </c>
      <c r="L51" s="30" t="s">
        <v>29</v>
      </c>
      <c r="M51" s="13">
        <f>M49/M50</f>
        <v>0.70245833333333352</v>
      </c>
      <c r="N51" s="13">
        <f t="shared" ref="N51:V51" si="32">N49/N50</f>
        <v>2.6401555555555563</v>
      </c>
      <c r="O51" s="13">
        <f t="shared" si="32"/>
        <v>1.0069671280000001</v>
      </c>
      <c r="P51" s="13">
        <f t="shared" si="32"/>
        <v>0.67489088888888882</v>
      </c>
      <c r="Q51" s="13">
        <f t="shared" si="32"/>
        <v>7.936627333333332E-2</v>
      </c>
      <c r="R51" s="13">
        <f t="shared" si="32"/>
        <v>9.3541666666666669E-3</v>
      </c>
      <c r="S51" s="13">
        <f t="shared" si="32"/>
        <v>3.9621966666666673</v>
      </c>
      <c r="T51" s="13">
        <f t="shared" si="32"/>
        <v>0.67928399999999978</v>
      </c>
      <c r="U51" s="13">
        <f t="shared" si="32"/>
        <v>2.0953955555555557</v>
      </c>
      <c r="V51" s="14">
        <f t="shared" si="32"/>
        <v>14.659814814814814</v>
      </c>
      <c r="X51" s="15"/>
      <c r="Y51" s="15"/>
      <c r="Z51" s="15"/>
      <c r="AA51" s="15"/>
      <c r="AB51" s="15">
        <v>111</v>
      </c>
      <c r="AC51" s="15">
        <v>30</v>
      </c>
      <c r="AD51" s="15">
        <f t="shared" si="17"/>
        <v>3.7</v>
      </c>
      <c r="AE51" s="15">
        <f t="shared" si="18"/>
        <v>2.7</v>
      </c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>
        <v>1174</v>
      </c>
      <c r="AW51" s="15">
        <v>80</v>
      </c>
      <c r="AX51" s="15">
        <f t="shared" si="23"/>
        <v>14.675000000000001</v>
      </c>
      <c r="AY51" s="15">
        <f t="shared" si="24"/>
        <v>13.675000000000001</v>
      </c>
      <c r="AZ51" s="15"/>
      <c r="BA51" s="15"/>
      <c r="BB51" s="15"/>
      <c r="BC51" s="15"/>
      <c r="BD51" s="15"/>
      <c r="BE51" s="15"/>
      <c r="BF51" s="15"/>
      <c r="BG51" s="15"/>
      <c r="BH51" s="15"/>
      <c r="BI51" s="15"/>
      <c r="BJ51" s="15"/>
      <c r="BK51" s="15"/>
    </row>
    <row r="52" spans="1:63" x14ac:dyDescent="0.25">
      <c r="A52" s="40">
        <v>43797</v>
      </c>
      <c r="B52" s="9">
        <v>6.9</v>
      </c>
      <c r="C52" s="9">
        <v>76.5</v>
      </c>
      <c r="D52" s="9">
        <v>602</v>
      </c>
      <c r="E52" s="9">
        <v>55.2</v>
      </c>
      <c r="F52" s="9">
        <v>48.6</v>
      </c>
      <c r="G52" s="9">
        <v>21.3</v>
      </c>
      <c r="H52" s="9">
        <v>381</v>
      </c>
      <c r="I52" s="52">
        <v>0.04</v>
      </c>
      <c r="J52" s="52">
        <v>0.25</v>
      </c>
      <c r="K52" s="53">
        <v>1</v>
      </c>
      <c r="L52" s="30" t="s">
        <v>30</v>
      </c>
      <c r="M52" s="13">
        <f>1/COUNT(M49:V49)</f>
        <v>0.1</v>
      </c>
      <c r="N52" s="13"/>
      <c r="O52" s="13"/>
      <c r="P52" s="13"/>
      <c r="Q52" s="13"/>
      <c r="R52" s="13"/>
      <c r="S52" s="13"/>
      <c r="T52" s="13"/>
      <c r="U52" s="13"/>
      <c r="V52" s="14"/>
      <c r="X52" s="15"/>
      <c r="Y52" s="15"/>
      <c r="Z52" s="15"/>
      <c r="AA52" s="15"/>
      <c r="AB52" s="15">
        <v>194</v>
      </c>
      <c r="AC52" s="15">
        <v>30</v>
      </c>
      <c r="AD52" s="15">
        <f t="shared" si="17"/>
        <v>6.4666666666666668</v>
      </c>
      <c r="AE52" s="15">
        <f t="shared" si="18"/>
        <v>5.4666666666666668</v>
      </c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>
        <v>1495</v>
      </c>
      <c r="AW52" s="15">
        <v>80</v>
      </c>
      <c r="AX52" s="15">
        <f t="shared" si="23"/>
        <v>18.6875</v>
      </c>
      <c r="AY52" s="15">
        <f t="shared" si="24"/>
        <v>17.6875</v>
      </c>
      <c r="AZ52" s="15"/>
      <c r="BA52" s="15"/>
      <c r="BB52" s="15"/>
      <c r="BC52" s="15"/>
      <c r="BD52" s="15"/>
      <c r="BE52" s="15"/>
      <c r="BF52" s="15"/>
      <c r="BG52" s="15"/>
      <c r="BH52" s="15"/>
      <c r="BI52" s="15"/>
      <c r="BJ52" s="15"/>
      <c r="BK52" s="15"/>
    </row>
    <row r="53" spans="1:63" ht="15.75" thickBot="1" x14ac:dyDescent="0.3">
      <c r="A53" s="42">
        <v>43827</v>
      </c>
      <c r="B53" s="43">
        <v>3.83</v>
      </c>
      <c r="C53" s="43">
        <v>92</v>
      </c>
      <c r="D53" s="43">
        <v>702</v>
      </c>
      <c r="E53" s="43">
        <v>66.3</v>
      </c>
      <c r="F53" s="43">
        <v>50.2</v>
      </c>
      <c r="G53" s="43">
        <v>22.7</v>
      </c>
      <c r="H53" s="43">
        <v>400</v>
      </c>
      <c r="I53" s="54">
        <v>1.81</v>
      </c>
      <c r="J53" s="54">
        <v>0.06</v>
      </c>
      <c r="K53" s="55">
        <v>5.0199999999999996</v>
      </c>
      <c r="L53" s="30" t="s">
        <v>31</v>
      </c>
      <c r="M53" s="13">
        <f>$M$19*M51</f>
        <v>7.0245833333333355E-2</v>
      </c>
      <c r="N53" s="13">
        <f t="shared" ref="N53:V53" si="33">$M$19*N51</f>
        <v>0.26401555555555561</v>
      </c>
      <c r="O53" s="13">
        <f t="shared" si="33"/>
        <v>0.10069671280000002</v>
      </c>
      <c r="P53" s="13">
        <f t="shared" si="33"/>
        <v>6.7489088888888882E-2</v>
      </c>
      <c r="Q53" s="13">
        <f t="shared" si="33"/>
        <v>7.9366273333333331E-3</v>
      </c>
      <c r="R53" s="13">
        <f t="shared" si="33"/>
        <v>9.3541666666666675E-4</v>
      </c>
      <c r="S53" s="13">
        <f t="shared" si="33"/>
        <v>0.39621966666666675</v>
      </c>
      <c r="T53" s="13">
        <f t="shared" si="33"/>
        <v>6.7928399999999986E-2</v>
      </c>
      <c r="U53" s="13">
        <f t="shared" si="33"/>
        <v>0.20953955555555559</v>
      </c>
      <c r="V53" s="14">
        <f t="shared" si="33"/>
        <v>1.4659814814814816</v>
      </c>
      <c r="X53" s="15"/>
      <c r="Y53" s="15"/>
      <c r="Z53" s="15"/>
      <c r="AA53" s="15"/>
      <c r="AB53" s="15">
        <v>221</v>
      </c>
      <c r="AC53" s="15">
        <v>30</v>
      </c>
      <c r="AD53" s="15">
        <f t="shared" si="17"/>
        <v>7.3666666666666663</v>
      </c>
      <c r="AE53" s="15">
        <f t="shared" si="18"/>
        <v>6.3666666666666663</v>
      </c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>
        <v>92.6</v>
      </c>
      <c r="AW53" s="15">
        <v>80</v>
      </c>
      <c r="AX53" s="15">
        <f t="shared" si="23"/>
        <v>1.1575</v>
      </c>
      <c r="AY53" s="15">
        <f t="shared" si="24"/>
        <v>0.15749999999999997</v>
      </c>
      <c r="AZ53" s="15"/>
      <c r="BA53" s="15"/>
      <c r="BB53" s="15"/>
      <c r="BC53" s="15"/>
      <c r="BD53" s="15"/>
      <c r="BE53" s="15"/>
      <c r="BF53" s="15"/>
      <c r="BG53" s="15"/>
      <c r="BH53" s="15"/>
      <c r="BI53" s="15"/>
      <c r="BJ53" s="15"/>
      <c r="BK53" s="15"/>
    </row>
    <row r="54" spans="1:63" ht="15.75" thickBot="1" x14ac:dyDescent="0.3">
      <c r="A54" s="45">
        <v>43858</v>
      </c>
      <c r="B54" s="46">
        <v>3.54</v>
      </c>
      <c r="C54" s="46">
        <v>79.5</v>
      </c>
      <c r="D54" s="46">
        <v>518</v>
      </c>
      <c r="E54" s="46">
        <v>47.7</v>
      </c>
      <c r="F54" s="46">
        <v>37.5</v>
      </c>
      <c r="G54" s="46">
        <v>19</v>
      </c>
      <c r="H54" s="46">
        <v>299</v>
      </c>
      <c r="I54" s="56">
        <v>1.29</v>
      </c>
      <c r="J54" s="56">
        <v>0.19</v>
      </c>
      <c r="K54" s="57">
        <v>4.41</v>
      </c>
      <c r="L54" s="32" t="s">
        <v>35</v>
      </c>
      <c r="M54" s="25">
        <f>SUM(M53:V53)</f>
        <v>2.6509883382814818</v>
      </c>
      <c r="N54" s="26"/>
      <c r="O54" s="26"/>
      <c r="P54" s="26"/>
      <c r="Q54" s="26"/>
      <c r="R54" s="26"/>
      <c r="S54" s="26"/>
      <c r="T54" s="26"/>
      <c r="U54" s="26"/>
      <c r="V54" s="27"/>
      <c r="X54" s="15"/>
      <c r="Y54" s="15"/>
      <c r="Z54" s="15"/>
      <c r="AA54" s="15"/>
      <c r="AB54" s="15">
        <v>255</v>
      </c>
      <c r="AC54" s="15">
        <v>30</v>
      </c>
      <c r="AD54" s="15">
        <f t="shared" si="17"/>
        <v>8.5</v>
      </c>
      <c r="AE54" s="15">
        <f t="shared" si="18"/>
        <v>7.5</v>
      </c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>
        <v>325.87200000000001</v>
      </c>
      <c r="AW54" s="15">
        <v>80</v>
      </c>
      <c r="AX54" s="15">
        <f t="shared" si="23"/>
        <v>4.0734000000000004</v>
      </c>
      <c r="AY54" s="15">
        <f t="shared" si="24"/>
        <v>3.0734000000000004</v>
      </c>
      <c r="AZ54" s="15"/>
      <c r="BA54" s="15"/>
      <c r="BB54" s="15"/>
      <c r="BC54" s="15"/>
      <c r="BD54" s="15"/>
      <c r="BE54" s="15"/>
      <c r="BF54" s="15"/>
      <c r="BG54" s="15"/>
      <c r="BH54" s="15"/>
      <c r="BI54" s="15"/>
      <c r="BJ54" s="15"/>
      <c r="BK54" s="15"/>
    </row>
    <row r="55" spans="1:63" x14ac:dyDescent="0.25">
      <c r="A55" s="48">
        <v>43889</v>
      </c>
      <c r="B55" s="15">
        <v>3.62</v>
      </c>
      <c r="C55" s="15">
        <v>89.2</v>
      </c>
      <c r="D55" s="15">
        <v>622</v>
      </c>
      <c r="E55" s="15">
        <v>56.6</v>
      </c>
      <c r="F55" s="15">
        <v>42.7</v>
      </c>
      <c r="G55" s="15">
        <v>21.6</v>
      </c>
      <c r="H55" s="15">
        <v>378</v>
      </c>
      <c r="I55" s="20">
        <v>2.23</v>
      </c>
      <c r="J55" s="20">
        <v>0.14000000000000001</v>
      </c>
      <c r="K55" s="31">
        <v>5.14</v>
      </c>
      <c r="X55" s="15"/>
      <c r="Y55" s="15"/>
      <c r="Z55" s="15"/>
      <c r="AA55" s="15"/>
      <c r="AB55" s="15">
        <v>309</v>
      </c>
      <c r="AC55" s="15">
        <v>30</v>
      </c>
      <c r="AD55" s="15">
        <f t="shared" si="17"/>
        <v>10.3</v>
      </c>
      <c r="AE55" s="15">
        <f t="shared" si="18"/>
        <v>9.3000000000000007</v>
      </c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15">
        <v>362</v>
      </c>
      <c r="AW55" s="15">
        <v>80</v>
      </c>
      <c r="AX55" s="15">
        <f t="shared" si="23"/>
        <v>4.5250000000000004</v>
      </c>
      <c r="AY55" s="15">
        <f t="shared" si="24"/>
        <v>3.5250000000000004</v>
      </c>
      <c r="AZ55" s="15"/>
      <c r="BA55" s="15"/>
      <c r="BB55" s="15"/>
      <c r="BC55" s="15"/>
      <c r="BD55" s="15"/>
      <c r="BE55" s="15"/>
      <c r="BF55" s="15"/>
      <c r="BG55" s="15"/>
      <c r="BH55" s="15"/>
      <c r="BI55" s="15"/>
      <c r="BJ55" s="15"/>
      <c r="BK55" s="15"/>
    </row>
    <row r="56" spans="1:63" x14ac:dyDescent="0.25">
      <c r="A56" s="48">
        <v>43918</v>
      </c>
      <c r="B56" s="15">
        <v>3.36</v>
      </c>
      <c r="C56" s="15">
        <v>111</v>
      </c>
      <c r="D56" s="15">
        <v>748</v>
      </c>
      <c r="E56" s="15">
        <v>59.9</v>
      </c>
      <c r="F56" s="15">
        <v>46.6</v>
      </c>
      <c r="G56" s="15">
        <v>21.2</v>
      </c>
      <c r="H56" s="15">
        <v>439</v>
      </c>
      <c r="I56" s="20">
        <v>5.19</v>
      </c>
      <c r="J56" s="20">
        <v>1.61</v>
      </c>
      <c r="K56" s="31">
        <v>5.91</v>
      </c>
      <c r="X56" s="15"/>
      <c r="Y56" s="15"/>
      <c r="Z56" s="15"/>
      <c r="AA56" s="15"/>
      <c r="AB56" s="15">
        <v>83.9</v>
      </c>
      <c r="AC56" s="15">
        <v>30</v>
      </c>
      <c r="AD56" s="15">
        <f t="shared" si="17"/>
        <v>2.7966666666666669</v>
      </c>
      <c r="AE56" s="15">
        <f t="shared" si="18"/>
        <v>1.7966666666666669</v>
      </c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  <c r="AR56" s="15"/>
      <c r="AS56" s="15"/>
      <c r="AT56" s="15"/>
      <c r="AU56" s="15"/>
      <c r="AV56" s="15">
        <v>354</v>
      </c>
      <c r="AW56" s="15">
        <v>80</v>
      </c>
      <c r="AX56" s="15">
        <f t="shared" si="23"/>
        <v>4.4249999999999998</v>
      </c>
      <c r="AY56" s="15">
        <f t="shared" si="24"/>
        <v>3.4249999999999998</v>
      </c>
      <c r="AZ56" s="15"/>
      <c r="BA56" s="15"/>
      <c r="BB56" s="15"/>
      <c r="BC56" s="15"/>
      <c r="BD56" s="15"/>
      <c r="BE56" s="15"/>
      <c r="BF56" s="15"/>
      <c r="BG56" s="15"/>
      <c r="BH56" s="15"/>
      <c r="BI56" s="15"/>
      <c r="BJ56" s="15"/>
      <c r="BK56" s="15"/>
    </row>
    <row r="57" spans="1:63" x14ac:dyDescent="0.25">
      <c r="A57" s="48">
        <v>44132</v>
      </c>
      <c r="B57" s="15">
        <v>3.19</v>
      </c>
      <c r="C57" s="15">
        <v>194</v>
      </c>
      <c r="D57" s="15">
        <v>1269.8079600000001</v>
      </c>
      <c r="E57" s="15">
        <v>145</v>
      </c>
      <c r="F57" s="15">
        <v>94.7</v>
      </c>
      <c r="G57" s="15">
        <v>30</v>
      </c>
      <c r="H57" s="15">
        <v>881</v>
      </c>
      <c r="I57" s="20">
        <v>11.7</v>
      </c>
      <c r="J57" s="20">
        <v>7.34</v>
      </c>
      <c r="K57" s="31">
        <v>10.6</v>
      </c>
      <c r="X57" s="15"/>
      <c r="Y57" s="15"/>
      <c r="Z57" s="15"/>
      <c r="AA57" s="15"/>
      <c r="AB57" s="15">
        <v>89</v>
      </c>
      <c r="AC57" s="15">
        <v>30</v>
      </c>
      <c r="AD57" s="15">
        <f t="shared" si="17"/>
        <v>2.9666666666666668</v>
      </c>
      <c r="AE57" s="15">
        <f t="shared" si="18"/>
        <v>1.9666666666666668</v>
      </c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15"/>
      <c r="AW57" s="15"/>
      <c r="AX57" s="15"/>
      <c r="AY57" s="15"/>
      <c r="AZ57" s="15"/>
      <c r="BA57" s="15"/>
      <c r="BB57" s="15"/>
      <c r="BC57" s="15"/>
      <c r="BD57" s="15"/>
      <c r="BE57" s="15"/>
      <c r="BF57" s="15"/>
      <c r="BG57" s="15"/>
      <c r="BH57" s="15"/>
      <c r="BI57" s="15"/>
      <c r="BJ57" s="15"/>
      <c r="BK57" s="15"/>
    </row>
    <row r="58" spans="1:63" x14ac:dyDescent="0.25">
      <c r="A58" s="48">
        <v>44163</v>
      </c>
      <c r="B58" s="15">
        <v>3.28</v>
      </c>
      <c r="C58" s="15">
        <v>221</v>
      </c>
      <c r="D58" s="15">
        <v>1527.08</v>
      </c>
      <c r="E58" s="15">
        <v>166</v>
      </c>
      <c r="F58" s="15">
        <v>120</v>
      </c>
      <c r="G58" s="15">
        <v>41.5</v>
      </c>
      <c r="H58" s="15">
        <v>1072</v>
      </c>
      <c r="I58" s="20">
        <v>15.1</v>
      </c>
      <c r="J58" s="20">
        <v>6.08</v>
      </c>
      <c r="K58" s="31">
        <v>17.3</v>
      </c>
      <c r="X58" s="15"/>
      <c r="Y58" s="15"/>
      <c r="Z58" s="15"/>
      <c r="AA58" s="15"/>
      <c r="AB58" s="15">
        <v>89.4</v>
      </c>
      <c r="AC58" s="15">
        <v>30</v>
      </c>
      <c r="AD58" s="15">
        <f t="shared" si="17"/>
        <v>2.98</v>
      </c>
      <c r="AE58" s="15">
        <f t="shared" si="18"/>
        <v>1.98</v>
      </c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15"/>
      <c r="AS58" s="15"/>
      <c r="AT58" s="15"/>
      <c r="AU58" s="15"/>
      <c r="AV58" s="15"/>
      <c r="AW58" s="15"/>
      <c r="AX58" s="15"/>
      <c r="AY58" s="15"/>
      <c r="AZ58" s="15"/>
      <c r="BA58" s="15"/>
      <c r="BB58" s="15"/>
      <c r="BC58" s="15"/>
      <c r="BD58" s="15"/>
      <c r="BE58" s="15"/>
      <c r="BF58" s="15"/>
      <c r="BG58" s="15"/>
      <c r="BH58" s="15"/>
      <c r="BI58" s="15"/>
      <c r="BJ58" s="15"/>
      <c r="BK58" s="15"/>
    </row>
    <row r="59" spans="1:63" ht="15.75" thickBot="1" x14ac:dyDescent="0.3">
      <c r="A59" s="49">
        <v>44193</v>
      </c>
      <c r="B59" s="50">
        <v>3.2</v>
      </c>
      <c r="C59" s="50">
        <v>255</v>
      </c>
      <c r="D59" s="50">
        <v>1655.61</v>
      </c>
      <c r="E59" s="50">
        <v>166</v>
      </c>
      <c r="F59" s="50">
        <v>128</v>
      </c>
      <c r="G59" s="50">
        <v>39.4</v>
      </c>
      <c r="H59" s="50">
        <v>1174</v>
      </c>
      <c r="I59" s="58">
        <v>20.5</v>
      </c>
      <c r="J59" s="58">
        <v>6.11</v>
      </c>
      <c r="K59" s="59">
        <v>15.1</v>
      </c>
    </row>
    <row r="60" spans="1:63" x14ac:dyDescent="0.25">
      <c r="A60" s="36">
        <v>44224</v>
      </c>
      <c r="B60" s="37">
        <v>3.06</v>
      </c>
      <c r="C60" s="37">
        <v>309</v>
      </c>
      <c r="D60" s="37">
        <v>2117.2046</v>
      </c>
      <c r="E60" s="37">
        <v>235</v>
      </c>
      <c r="F60" s="37">
        <v>151</v>
      </c>
      <c r="G60" s="37">
        <v>40</v>
      </c>
      <c r="H60" s="37">
        <v>1495</v>
      </c>
      <c r="I60" s="60">
        <v>41.4</v>
      </c>
      <c r="J60" s="60">
        <v>12.3</v>
      </c>
      <c r="K60" s="61">
        <v>0.24</v>
      </c>
    </row>
    <row r="61" spans="1:63" x14ac:dyDescent="0.25">
      <c r="A61" s="40">
        <v>44255</v>
      </c>
      <c r="B61" s="9">
        <v>5.86</v>
      </c>
      <c r="C61" s="9">
        <v>27.3</v>
      </c>
      <c r="D61" s="9">
        <v>159.08000000000001</v>
      </c>
      <c r="E61" s="9">
        <v>16.7</v>
      </c>
      <c r="F61" s="9">
        <v>12.8</v>
      </c>
      <c r="G61" s="9">
        <v>11.3</v>
      </c>
      <c r="H61" s="9">
        <v>92.6</v>
      </c>
      <c r="I61" s="9">
        <v>0.46</v>
      </c>
      <c r="J61" s="9">
        <v>0.56999999999999995</v>
      </c>
      <c r="K61" s="16">
        <v>0.16</v>
      </c>
    </row>
    <row r="62" spans="1:63" x14ac:dyDescent="0.25">
      <c r="A62" s="40">
        <v>44283</v>
      </c>
      <c r="B62" s="9">
        <v>6.58</v>
      </c>
      <c r="C62" s="9">
        <v>24.4</v>
      </c>
      <c r="D62" s="9">
        <v>118.93</v>
      </c>
      <c r="E62" s="9">
        <v>11.1</v>
      </c>
      <c r="F62" s="9">
        <v>9.4</v>
      </c>
      <c r="G62" s="9">
        <v>10.9</v>
      </c>
      <c r="H62" s="9">
        <v>53.1</v>
      </c>
      <c r="I62" s="9">
        <v>0.13</v>
      </c>
      <c r="J62" s="9">
        <v>1.52</v>
      </c>
      <c r="K62" s="16">
        <v>0.01</v>
      </c>
    </row>
    <row r="63" spans="1:63" x14ac:dyDescent="0.25">
      <c r="A63" s="40">
        <v>44497</v>
      </c>
      <c r="B63" s="9">
        <v>3.9</v>
      </c>
      <c r="C63" s="9">
        <v>83.9</v>
      </c>
      <c r="D63" s="9">
        <v>485.01436000000001</v>
      </c>
      <c r="E63" s="9">
        <v>43.4</v>
      </c>
      <c r="F63" s="9">
        <v>41.037999999999997</v>
      </c>
      <c r="G63" s="9">
        <v>19.5</v>
      </c>
      <c r="H63" s="9">
        <v>325.87200000000001</v>
      </c>
      <c r="I63" s="9">
        <v>0.47</v>
      </c>
      <c r="J63" s="9">
        <v>0.03</v>
      </c>
      <c r="K63" s="16">
        <v>2.6629999999999998</v>
      </c>
    </row>
    <row r="64" spans="1:63" x14ac:dyDescent="0.25">
      <c r="A64" s="40">
        <v>44528</v>
      </c>
      <c r="B64" s="9">
        <v>4.21</v>
      </c>
      <c r="C64" s="9">
        <v>89</v>
      </c>
      <c r="D64" s="9">
        <v>545.49</v>
      </c>
      <c r="E64" s="9">
        <v>53.6</v>
      </c>
      <c r="F64" s="9">
        <v>47.6</v>
      </c>
      <c r="G64" s="9">
        <v>24.4</v>
      </c>
      <c r="H64" s="9">
        <v>362</v>
      </c>
      <c r="I64" s="9">
        <v>0.16</v>
      </c>
      <c r="J64" s="9">
        <v>-0.01</v>
      </c>
      <c r="K64" s="16">
        <v>3.01</v>
      </c>
    </row>
    <row r="65" spans="1:11" ht="15.75" thickBot="1" x14ac:dyDescent="0.3">
      <c r="A65" s="42">
        <v>44558</v>
      </c>
      <c r="B65" s="43">
        <v>4.24</v>
      </c>
      <c r="C65" s="43">
        <v>89.4</v>
      </c>
      <c r="D65" s="43">
        <v>531.86</v>
      </c>
      <c r="E65" s="43">
        <v>51.3</v>
      </c>
      <c r="F65" s="43">
        <v>47.7</v>
      </c>
      <c r="G65" s="43">
        <v>22.1</v>
      </c>
      <c r="H65" s="43">
        <v>354</v>
      </c>
      <c r="I65" s="43">
        <v>0.19</v>
      </c>
      <c r="J65" s="43">
        <v>0.08</v>
      </c>
      <c r="K65" s="44">
        <v>2.74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Gnitchogna, Rodrigue</dc:creator>
  <cp:lastModifiedBy>Gnitchogna, Rodrigue</cp:lastModifiedBy>
  <dcterms:created xsi:type="dcterms:W3CDTF">2023-01-11T23:33:40Z</dcterms:created>
  <dcterms:modified xsi:type="dcterms:W3CDTF">2023-01-15T17:14:23Z</dcterms:modified>
</cp:coreProperties>
</file>