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amescookuniversity-my.sharepoint.com/personal/jc343421_jcu_edu_au/Documents/Himali_Emma_share/Himali's PhD/Chapter 4_iGAS/Epidemiology paper/CID/"/>
    </mc:Choice>
  </mc:AlternateContent>
  <xr:revisionPtr revIDLastSave="0" documentId="8_{86971ECE-FDB0-4227-932F-25537716D74C}" xr6:coauthVersionLast="47" xr6:coauthVersionMax="47" xr10:uidLastSave="{00000000-0000-0000-0000-000000000000}"/>
  <bookViews>
    <workbookView xWindow="-110" yWindow="-110" windowWidth="19420" windowHeight="11500" xr2:uid="{6454C1DA-91B5-40A9-8397-94DAC27780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E31" i="1"/>
  <c r="U31" i="1" s="1"/>
  <c r="C31" i="1"/>
  <c r="U30" i="1"/>
  <c r="S30" i="1"/>
  <c r="M30" i="1"/>
  <c r="L30" i="1"/>
  <c r="N30" i="1" s="1"/>
  <c r="J30" i="1"/>
  <c r="J31" i="1" s="1"/>
  <c r="L33" i="1" s="1"/>
  <c r="E30" i="1"/>
  <c r="D30" i="1"/>
  <c r="F30" i="1" s="1"/>
  <c r="B30" i="1"/>
  <c r="B31" i="1" s="1"/>
  <c r="R31" i="1" s="1"/>
  <c r="U29" i="1"/>
  <c r="V29" i="1" s="1"/>
  <c r="T29" i="1"/>
  <c r="S29" i="1"/>
  <c r="R29" i="1"/>
  <c r="M29" i="1"/>
  <c r="N29" i="1" s="1"/>
  <c r="L29" i="1"/>
  <c r="F29" i="1"/>
  <c r="E29" i="1"/>
  <c r="D29" i="1"/>
  <c r="U28" i="1"/>
  <c r="S28" i="1"/>
  <c r="R28" i="1"/>
  <c r="T28" i="1" s="1"/>
  <c r="N28" i="1"/>
  <c r="M28" i="1"/>
  <c r="L28" i="1"/>
  <c r="E28" i="1"/>
  <c r="F28" i="1" s="1"/>
  <c r="D28" i="1"/>
  <c r="S27" i="1"/>
  <c r="R27" i="1"/>
  <c r="T27" i="1" s="1"/>
  <c r="M27" i="1"/>
  <c r="U27" i="1" s="1"/>
  <c r="V27" i="1" s="1"/>
  <c r="L27" i="1"/>
  <c r="N27" i="1" s="1"/>
  <c r="F27" i="1"/>
  <c r="E27" i="1"/>
  <c r="D27" i="1"/>
  <c r="U26" i="1"/>
  <c r="S26" i="1"/>
  <c r="T26" i="1" s="1"/>
  <c r="R26" i="1"/>
  <c r="M26" i="1"/>
  <c r="L26" i="1"/>
  <c r="N26" i="1" s="1"/>
  <c r="E26" i="1"/>
  <c r="D26" i="1"/>
  <c r="F26" i="1" s="1"/>
  <c r="T25" i="1"/>
  <c r="S25" i="1"/>
  <c r="R25" i="1"/>
  <c r="M25" i="1"/>
  <c r="U25" i="1" s="1"/>
  <c r="V25" i="1" s="1"/>
  <c r="L25" i="1"/>
  <c r="E25" i="1"/>
  <c r="D25" i="1"/>
  <c r="F25" i="1" s="1"/>
  <c r="T24" i="1"/>
  <c r="S24" i="1"/>
  <c r="R24" i="1"/>
  <c r="N24" i="1"/>
  <c r="M24" i="1"/>
  <c r="L24" i="1"/>
  <c r="E24" i="1"/>
  <c r="U24" i="1" s="1"/>
  <c r="V24" i="1" s="1"/>
  <c r="D24" i="1"/>
  <c r="T23" i="1"/>
  <c r="S23" i="1"/>
  <c r="R23" i="1"/>
  <c r="N23" i="1"/>
  <c r="M23" i="1"/>
  <c r="L23" i="1"/>
  <c r="F23" i="1"/>
  <c r="E23" i="1"/>
  <c r="U23" i="1" s="1"/>
  <c r="V23" i="1" s="1"/>
  <c r="D23" i="1"/>
  <c r="T22" i="1"/>
  <c r="S22" i="1"/>
  <c r="R22" i="1"/>
  <c r="N22" i="1"/>
  <c r="M22" i="1"/>
  <c r="M31" i="1" s="1"/>
  <c r="L22" i="1"/>
  <c r="F22" i="1"/>
  <c r="E22" i="1"/>
  <c r="U22" i="1" s="1"/>
  <c r="V22" i="1" s="1"/>
  <c r="D22" i="1"/>
  <c r="S12" i="1"/>
  <c r="K12" i="1"/>
  <c r="C12" i="1"/>
  <c r="D14" i="1" s="1"/>
  <c r="B12" i="1"/>
  <c r="S11" i="1"/>
  <c r="R11" i="1"/>
  <c r="T11" i="1" s="1"/>
  <c r="M11" i="1"/>
  <c r="L11" i="1"/>
  <c r="N11" i="1" s="1"/>
  <c r="J11" i="1"/>
  <c r="J12" i="1" s="1"/>
  <c r="E11" i="1"/>
  <c r="B11" i="1"/>
  <c r="D11" i="1" s="1"/>
  <c r="S10" i="1"/>
  <c r="T10" i="1" s="1"/>
  <c r="R10" i="1"/>
  <c r="N10" i="1"/>
  <c r="M10" i="1"/>
  <c r="L10" i="1"/>
  <c r="F10" i="1"/>
  <c r="E10" i="1"/>
  <c r="U10" i="1" s="1"/>
  <c r="V10" i="1" s="1"/>
  <c r="D10" i="1"/>
  <c r="S9" i="1"/>
  <c r="T9" i="1" s="1"/>
  <c r="R9" i="1"/>
  <c r="M9" i="1"/>
  <c r="N9" i="1" s="1"/>
  <c r="L9" i="1"/>
  <c r="F9" i="1"/>
  <c r="E9" i="1"/>
  <c r="U9" i="1" s="1"/>
  <c r="D9" i="1"/>
  <c r="U8" i="1"/>
  <c r="S8" i="1"/>
  <c r="T8" i="1" s="1"/>
  <c r="V8" i="1" s="1"/>
  <c r="R8" i="1"/>
  <c r="M8" i="1"/>
  <c r="N8" i="1" s="1"/>
  <c r="L8" i="1"/>
  <c r="E8" i="1"/>
  <c r="F8" i="1" s="1"/>
  <c r="D8" i="1"/>
  <c r="S7" i="1"/>
  <c r="T7" i="1" s="1"/>
  <c r="R7" i="1"/>
  <c r="M7" i="1"/>
  <c r="N7" i="1" s="1"/>
  <c r="L7" i="1"/>
  <c r="E7" i="1"/>
  <c r="U7" i="1" s="1"/>
  <c r="D7" i="1"/>
  <c r="S6" i="1"/>
  <c r="T6" i="1" s="1"/>
  <c r="R6" i="1"/>
  <c r="M6" i="1"/>
  <c r="M12" i="1" s="1"/>
  <c r="L6" i="1"/>
  <c r="E6" i="1"/>
  <c r="F6" i="1" s="1"/>
  <c r="D6" i="1"/>
  <c r="T5" i="1"/>
  <c r="S5" i="1"/>
  <c r="R5" i="1"/>
  <c r="M5" i="1"/>
  <c r="N5" i="1" s="1"/>
  <c r="L5" i="1"/>
  <c r="E5" i="1"/>
  <c r="F5" i="1" s="1"/>
  <c r="D5" i="1"/>
  <c r="S4" i="1"/>
  <c r="T4" i="1" s="1"/>
  <c r="R4" i="1"/>
  <c r="N4" i="1"/>
  <c r="M4" i="1"/>
  <c r="L4" i="1"/>
  <c r="E4" i="1"/>
  <c r="F4" i="1" s="1"/>
  <c r="D4" i="1"/>
  <c r="U3" i="1"/>
  <c r="V3" i="1" s="1"/>
  <c r="T3" i="1"/>
  <c r="S3" i="1"/>
  <c r="R3" i="1"/>
  <c r="M3" i="1"/>
  <c r="N3" i="1" s="1"/>
  <c r="L3" i="1"/>
  <c r="F3" i="1"/>
  <c r="E3" i="1"/>
  <c r="E12" i="1" s="1"/>
  <c r="D3" i="1"/>
  <c r="L14" i="1" l="1"/>
  <c r="V26" i="1"/>
  <c r="V28" i="1"/>
  <c r="V9" i="1"/>
  <c r="R12" i="1"/>
  <c r="T14" i="1" s="1"/>
  <c r="F31" i="1"/>
  <c r="D34" i="1" s="1"/>
  <c r="D33" i="1"/>
  <c r="U12" i="1"/>
  <c r="V7" i="1"/>
  <c r="F11" i="1"/>
  <c r="U6" i="1"/>
  <c r="V6" i="1" s="1"/>
  <c r="U11" i="1"/>
  <c r="V11" i="1" s="1"/>
  <c r="U5" i="1"/>
  <c r="V5" i="1" s="1"/>
  <c r="F24" i="1"/>
  <c r="N25" i="1"/>
  <c r="N31" i="1" s="1"/>
  <c r="L34" i="1" s="1"/>
  <c r="F7" i="1"/>
  <c r="F12" i="1" s="1"/>
  <c r="D15" i="1" s="1"/>
  <c r="R30" i="1"/>
  <c r="T30" i="1" s="1"/>
  <c r="V30" i="1" s="1"/>
  <c r="V31" i="1" s="1"/>
  <c r="T34" i="1" s="1"/>
  <c r="S31" i="1"/>
  <c r="T33" i="1" s="1"/>
  <c r="U4" i="1"/>
  <c r="V4" i="1" s="1"/>
  <c r="V12" i="1" s="1"/>
  <c r="T15" i="1" s="1"/>
  <c r="N6" i="1"/>
  <c r="N12" i="1" s="1"/>
  <c r="L15" i="1" s="1"/>
</calcChain>
</file>

<file path=xl/sharedStrings.xml><?xml version="1.0" encoding="utf-8"?>
<sst xmlns="http://schemas.openxmlformats.org/spreadsheetml/2006/main" count="136" uniqueCount="43">
  <si>
    <t>Male NI</t>
  </si>
  <si>
    <t>Females NI</t>
  </si>
  <si>
    <t>NI(both)</t>
  </si>
  <si>
    <t>Age-group</t>
  </si>
  <si>
    <t>Population</t>
  </si>
  <si>
    <t>events</t>
  </si>
  <si>
    <t>Age specific incidence</t>
  </si>
  <si>
    <t>Standard population_2001</t>
  </si>
  <si>
    <t>Exp. Events</t>
  </si>
  <si>
    <t>Age standardised incidence</t>
  </si>
  <si>
    <t xml:space="preserve"> 0-9</t>
  </si>
  <si>
    <t xml:space="preserve"> 10-19</t>
  </si>
  <si>
    <t>20-29</t>
  </si>
  <si>
    <t>30-39</t>
  </si>
  <si>
    <t>40-49</t>
  </si>
  <si>
    <t>50-59</t>
  </si>
  <si>
    <t>60-69</t>
  </si>
  <si>
    <t>70-79</t>
  </si>
  <si>
    <t>80+</t>
  </si>
  <si>
    <t>Total</t>
  </si>
  <si>
    <t>Incidence</t>
  </si>
  <si>
    <t>Age standardised incidence=</t>
  </si>
  <si>
    <t>Male Ind</t>
  </si>
  <si>
    <t>Females Ind</t>
  </si>
  <si>
    <t>Ind(both)</t>
  </si>
  <si>
    <t>cases</t>
  </si>
  <si>
    <t>population</t>
  </si>
  <si>
    <t>group</t>
  </si>
  <si>
    <t>incidence</t>
  </si>
  <si>
    <t>incidence_lower_95CI</t>
  </si>
  <si>
    <t>incidence_upper_95CI</t>
  </si>
  <si>
    <t>Male NI</t>
  </si>
  <si>
    <t>Female NI</t>
  </si>
  <si>
    <t>Male Indegineous</t>
  </si>
  <si>
    <t>Female Indigenous</t>
  </si>
  <si>
    <t>Both NI</t>
  </si>
  <si>
    <t>Both Ind</t>
  </si>
  <si>
    <t>Standardised Male NI</t>
  </si>
  <si>
    <t>Standardised Female NI</t>
  </si>
  <si>
    <t>Standardised Male Indigenous</t>
  </si>
  <si>
    <t>Standardised Female Indigenous</t>
  </si>
  <si>
    <t>Standardised both NI</t>
  </si>
  <si>
    <t>Standardised both 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</si>
</sst>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Segoe UI"/>
      <family val="2"/>
    </font>
    <font>
      <sz val="12"/>
      <color theme="1"/>
      <name val="Segoe UI"/>
      <family val="2"/>
    </font>
    <font>
      <sz val="12"/>
      <color rgb="FF333333"/>
      <name val="Segoe UI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8F9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/>
      <right style="medium">
        <color rgb="FFD6DADC"/>
      </right>
      <top/>
      <bottom/>
      <diagonal/>
    </border>
    <border>
      <left/>
      <right/>
      <top style="medium">
        <color rgb="FFD6DADC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17" fontId="0" fillId="0" borderId="0" xfId="0" applyNumberForma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FAE8-D216-4852-B28A-AC0682193306}">
  <dimension ref="A1:V53"/>
  <sheetViews>
    <sheetView tabSelected="1" workbookViewId="0">
      <selection sqref="A1:XFD1048576"/>
    </sheetView>
  </sheetViews>
  <sheetFormatPr defaultRowHeight="14.5" x14ac:dyDescent="0.35"/>
  <cols>
    <col min="1" max="1" width="9.7265625" customWidth="1"/>
    <col min="2" max="2" width="12.81640625" customWidth="1"/>
    <col min="3" max="3" width="15.54296875" customWidth="1"/>
    <col min="4" max="4" width="21.453125" customWidth="1"/>
    <col min="5" max="5" width="25" customWidth="1"/>
    <col min="6" max="6" width="11.453125" customWidth="1"/>
    <col min="7" max="7" width="15.1796875" customWidth="1"/>
    <col min="8" max="8" width="15.81640625" customWidth="1"/>
    <col min="9" max="9" width="11.1796875" customWidth="1"/>
    <col min="10" max="10" width="12.26953125" customWidth="1"/>
    <col min="11" max="11" width="11.26953125" bestFit="1" customWidth="1"/>
    <col min="12" max="12" width="19.81640625" customWidth="1"/>
    <col min="13" max="13" width="19" customWidth="1"/>
    <col min="14" max="14" width="11.1796875" customWidth="1"/>
    <col min="15" max="15" width="25.1796875" customWidth="1"/>
    <col min="16" max="16" width="8.81640625" bestFit="1" customWidth="1"/>
  </cols>
  <sheetData>
    <row r="1" spans="1:22" x14ac:dyDescent="0.35">
      <c r="A1" t="s">
        <v>0</v>
      </c>
      <c r="I1" t="s">
        <v>1</v>
      </c>
      <c r="Q1" t="s">
        <v>2</v>
      </c>
    </row>
    <row r="2" spans="1:22" x14ac:dyDescent="0.3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I2" t="s">
        <v>3</v>
      </c>
      <c r="J2" t="s">
        <v>4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Q2" t="s">
        <v>3</v>
      </c>
      <c r="R2" t="s">
        <v>4</v>
      </c>
      <c r="S2" t="s">
        <v>5</v>
      </c>
      <c r="T2" t="s">
        <v>6</v>
      </c>
      <c r="U2" t="s">
        <v>7</v>
      </c>
      <c r="V2" t="s">
        <v>8</v>
      </c>
    </row>
    <row r="3" spans="1:22" x14ac:dyDescent="0.35">
      <c r="A3" t="s">
        <v>10</v>
      </c>
      <c r="B3">
        <v>51407</v>
      </c>
      <c r="C3">
        <v>35</v>
      </c>
      <c r="D3">
        <f>C3/B3</f>
        <v>6.8084113058532885E-4</v>
      </c>
      <c r="E3">
        <f>644853+681781</f>
        <v>1326634</v>
      </c>
      <c r="F3">
        <f>E3*D3</f>
        <v>903.22699243293721</v>
      </c>
      <c r="I3" t="s">
        <v>10</v>
      </c>
      <c r="J3">
        <v>48579</v>
      </c>
      <c r="K3">
        <v>29</v>
      </c>
      <c r="L3">
        <f>K3/J3</f>
        <v>5.9696576710101072E-4</v>
      </c>
      <c r="M3">
        <f>612618+646509</f>
        <v>1259127</v>
      </c>
      <c r="N3">
        <f>M3*L3</f>
        <v>751.65571543259432</v>
      </c>
      <c r="Q3" t="s">
        <v>10</v>
      </c>
      <c r="R3">
        <f>B3+J3</f>
        <v>99986</v>
      </c>
      <c r="S3">
        <f>C3+K3</f>
        <v>64</v>
      </c>
      <c r="T3">
        <f>S3/R3</f>
        <v>6.4008961254575646E-4</v>
      </c>
      <c r="U3">
        <f>E3+M3</f>
        <v>2585761</v>
      </c>
      <c r="V3">
        <f>U3*T3</f>
        <v>1655.1187566259277</v>
      </c>
    </row>
    <row r="4" spans="1:22" x14ac:dyDescent="0.35">
      <c r="A4" s="1" t="s">
        <v>11</v>
      </c>
      <c r="B4">
        <v>51021</v>
      </c>
      <c r="C4">
        <v>12</v>
      </c>
      <c r="D4">
        <f>C4/B4</f>
        <v>2.3519727171164814E-4</v>
      </c>
      <c r="E4">
        <f>685397+697641</f>
        <v>1383038</v>
      </c>
      <c r="F4">
        <f t="shared" ref="F4:F11" si="0">E4*D4</f>
        <v>325.2867642735344</v>
      </c>
      <c r="I4" s="1" t="s">
        <v>11</v>
      </c>
      <c r="J4">
        <v>46985</v>
      </c>
      <c r="K4">
        <v>10</v>
      </c>
      <c r="L4">
        <f t="shared" ref="L4:L11" si="1">K4/J4</f>
        <v>2.1283388315419816E-4</v>
      </c>
      <c r="M4">
        <f>652060+664465</f>
        <v>1316525</v>
      </c>
      <c r="N4">
        <f t="shared" ref="N4:N11" si="2">M4*L4</f>
        <v>280.20112801958072</v>
      </c>
      <c r="Q4" s="1" t="s">
        <v>11</v>
      </c>
      <c r="R4">
        <f>B4+J4</f>
        <v>98006</v>
      </c>
      <c r="S4">
        <f t="shared" ref="S4:S12" si="3">C4+K4</f>
        <v>22</v>
      </c>
      <c r="T4">
        <f>S4/R4</f>
        <v>2.2447605248658245E-4</v>
      </c>
      <c r="U4">
        <f t="shared" ref="U4:U12" si="4">E4+M4</f>
        <v>2699563</v>
      </c>
      <c r="V4">
        <f t="shared" ref="V4:V11" si="5">U4*T4</f>
        <v>605.98724567883596</v>
      </c>
    </row>
    <row r="5" spans="1:22" x14ac:dyDescent="0.35">
      <c r="A5" t="s">
        <v>12</v>
      </c>
      <c r="B5">
        <v>50507</v>
      </c>
      <c r="C5">
        <v>14</v>
      </c>
      <c r="D5">
        <f t="shared" ref="D5:D11" si="6">C5/B5</f>
        <v>2.7718930049300098E-4</v>
      </c>
      <c r="E5">
        <f>706106+733221</f>
        <v>1439327</v>
      </c>
      <c r="F5">
        <f t="shared" si="0"/>
        <v>398.96604431068965</v>
      </c>
      <c r="I5" t="s">
        <v>12</v>
      </c>
      <c r="J5">
        <v>48153</v>
      </c>
      <c r="K5">
        <v>35</v>
      </c>
      <c r="L5">
        <f t="shared" si="1"/>
        <v>7.268498328245384E-4</v>
      </c>
      <c r="M5">
        <f>676302+720166</f>
        <v>1396468</v>
      </c>
      <c r="N5">
        <f t="shared" si="2"/>
        <v>1015.0225323448175</v>
      </c>
      <c r="Q5" t="s">
        <v>12</v>
      </c>
      <c r="R5">
        <f t="shared" ref="R5:R12" si="7">B5+J5</f>
        <v>98660</v>
      </c>
      <c r="S5">
        <f t="shared" si="3"/>
        <v>49</v>
      </c>
      <c r="T5">
        <f t="shared" ref="T5:T11" si="8">S5/R5</f>
        <v>4.9665517940401382E-4</v>
      </c>
      <c r="U5">
        <f t="shared" si="4"/>
        <v>2835795</v>
      </c>
      <c r="V5">
        <f t="shared" si="5"/>
        <v>1408.4122744780054</v>
      </c>
    </row>
    <row r="6" spans="1:22" x14ac:dyDescent="0.35">
      <c r="A6" t="s">
        <v>13</v>
      </c>
      <c r="B6">
        <v>51605</v>
      </c>
      <c r="C6">
        <v>22</v>
      </c>
      <c r="D6">
        <f t="shared" si="6"/>
        <v>4.2631527952717758E-4</v>
      </c>
      <c r="E6">
        <f>730244+738014</f>
        <v>1468258</v>
      </c>
      <c r="F6">
        <f t="shared" si="0"/>
        <v>625.9408196880147</v>
      </c>
      <c r="I6" t="s">
        <v>13</v>
      </c>
      <c r="J6">
        <v>51772</v>
      </c>
      <c r="K6">
        <v>24</v>
      </c>
      <c r="L6">
        <f t="shared" si="1"/>
        <v>4.6357104226222667E-4</v>
      </c>
      <c r="M6">
        <f>731007+740208</f>
        <v>1471215</v>
      </c>
      <c r="N6">
        <f t="shared" si="2"/>
        <v>682.01267094182185</v>
      </c>
      <c r="Q6" t="s">
        <v>13</v>
      </c>
      <c r="R6">
        <f t="shared" si="7"/>
        <v>103377</v>
      </c>
      <c r="S6">
        <f t="shared" si="3"/>
        <v>46</v>
      </c>
      <c r="T6">
        <f t="shared" si="8"/>
        <v>4.4497325323814777E-4</v>
      </c>
      <c r="U6">
        <f t="shared" si="4"/>
        <v>2939473</v>
      </c>
      <c r="V6">
        <f t="shared" si="5"/>
        <v>1307.986863615698</v>
      </c>
    </row>
    <row r="7" spans="1:22" x14ac:dyDescent="0.35">
      <c r="A7" t="s">
        <v>14</v>
      </c>
      <c r="B7">
        <v>58203</v>
      </c>
      <c r="C7">
        <v>34</v>
      </c>
      <c r="D7">
        <f t="shared" si="6"/>
        <v>5.8416232840231602E-4</v>
      </c>
      <c r="E7">
        <f>736361+679714</f>
        <v>1416075</v>
      </c>
      <c r="F7">
        <f t="shared" si="0"/>
        <v>827.2176691923097</v>
      </c>
      <c r="I7" t="s">
        <v>14</v>
      </c>
      <c r="J7">
        <v>55461</v>
      </c>
      <c r="K7">
        <v>21</v>
      </c>
      <c r="L7">
        <f t="shared" si="1"/>
        <v>3.786444528587656E-4</v>
      </c>
      <c r="M7">
        <f>737724+681146</f>
        <v>1418870</v>
      </c>
      <c r="N7">
        <f t="shared" si="2"/>
        <v>537.2472548277168</v>
      </c>
      <c r="Q7" t="s">
        <v>14</v>
      </c>
      <c r="R7">
        <f t="shared" si="7"/>
        <v>113664</v>
      </c>
      <c r="S7">
        <f t="shared" si="3"/>
        <v>55</v>
      </c>
      <c r="T7">
        <f t="shared" si="8"/>
        <v>4.8388231981981981E-4</v>
      </c>
      <c r="U7">
        <f t="shared" si="4"/>
        <v>2834945</v>
      </c>
      <c r="V7">
        <f t="shared" si="5"/>
        <v>1371.779763161599</v>
      </c>
    </row>
    <row r="8" spans="1:22" x14ac:dyDescent="0.35">
      <c r="A8" t="s">
        <v>15</v>
      </c>
      <c r="B8">
        <v>55841</v>
      </c>
      <c r="C8">
        <v>39</v>
      </c>
      <c r="D8">
        <f t="shared" si="6"/>
        <v>6.9841156139753948E-4</v>
      </c>
      <c r="E8">
        <f>650508+507117</f>
        <v>1157625</v>
      </c>
      <c r="F8">
        <f t="shared" si="0"/>
        <v>808.49868376282666</v>
      </c>
      <c r="I8" t="s">
        <v>15</v>
      </c>
      <c r="J8">
        <v>50981</v>
      </c>
      <c r="K8">
        <v>22</v>
      </c>
      <c r="L8">
        <f t="shared" si="1"/>
        <v>4.3153331633353603E-4</v>
      </c>
      <c r="M8">
        <f>635827+491284</f>
        <v>1127111</v>
      </c>
      <c r="N8">
        <f t="shared" si="2"/>
        <v>486.38594770600815</v>
      </c>
      <c r="Q8" t="s">
        <v>15</v>
      </c>
      <c r="R8">
        <f t="shared" si="7"/>
        <v>106822</v>
      </c>
      <c r="S8">
        <f t="shared" si="3"/>
        <v>61</v>
      </c>
      <c r="T8">
        <f t="shared" si="8"/>
        <v>5.7104341802250477E-4</v>
      </c>
      <c r="U8">
        <f t="shared" si="4"/>
        <v>2284736</v>
      </c>
      <c r="V8">
        <f t="shared" si="5"/>
        <v>1304.6834547190654</v>
      </c>
    </row>
    <row r="9" spans="1:22" x14ac:dyDescent="0.35">
      <c r="A9" t="s">
        <v>16</v>
      </c>
      <c r="B9">
        <v>41492</v>
      </c>
      <c r="C9">
        <v>47</v>
      </c>
      <c r="D9">
        <f t="shared" si="6"/>
        <v>1.132748481635014E-3</v>
      </c>
      <c r="E9">
        <f>404506+329739</f>
        <v>734245</v>
      </c>
      <c r="F9">
        <f t="shared" si="0"/>
        <v>831.71490889810093</v>
      </c>
      <c r="I9" t="s">
        <v>16</v>
      </c>
      <c r="J9">
        <v>35703</v>
      </c>
      <c r="K9">
        <v>18</v>
      </c>
      <c r="L9">
        <f t="shared" si="1"/>
        <v>5.0415931434333251E-4</v>
      </c>
      <c r="M9">
        <f>399772+343324</f>
        <v>743096</v>
      </c>
      <c r="N9">
        <f t="shared" si="2"/>
        <v>374.63876985127303</v>
      </c>
      <c r="Q9" t="s">
        <v>16</v>
      </c>
      <c r="R9">
        <f t="shared" si="7"/>
        <v>77195</v>
      </c>
      <c r="S9">
        <f t="shared" si="3"/>
        <v>65</v>
      </c>
      <c r="T9">
        <f t="shared" si="8"/>
        <v>8.420234471144504E-4</v>
      </c>
      <c r="U9">
        <f t="shared" si="4"/>
        <v>1477341</v>
      </c>
      <c r="V9">
        <f t="shared" si="5"/>
        <v>1243.9557613835093</v>
      </c>
    </row>
    <row r="10" spans="1:22" x14ac:dyDescent="0.35">
      <c r="A10" t="s">
        <v>17</v>
      </c>
      <c r="B10">
        <v>20932</v>
      </c>
      <c r="C10">
        <v>42</v>
      </c>
      <c r="D10">
        <f t="shared" si="6"/>
        <v>2.0064972291228742E-3</v>
      </c>
      <c r="E10">
        <f>297158+223507</f>
        <v>520665</v>
      </c>
      <c r="F10">
        <f t="shared" si="0"/>
        <v>1044.7128798012614</v>
      </c>
      <c r="I10" t="s">
        <v>17</v>
      </c>
      <c r="J10">
        <v>19224</v>
      </c>
      <c r="K10">
        <v>22</v>
      </c>
      <c r="L10">
        <f t="shared" si="1"/>
        <v>1.1444028297960883E-3</v>
      </c>
      <c r="M10">
        <f>331260+290353</f>
        <v>621613</v>
      </c>
      <c r="N10">
        <f t="shared" si="2"/>
        <v>711.37567623803579</v>
      </c>
      <c r="Q10" t="s">
        <v>17</v>
      </c>
      <c r="R10">
        <f t="shared" si="7"/>
        <v>40156</v>
      </c>
      <c r="S10">
        <f t="shared" si="3"/>
        <v>64</v>
      </c>
      <c r="T10">
        <f t="shared" si="8"/>
        <v>1.5937842414583125E-3</v>
      </c>
      <c r="U10">
        <f t="shared" si="4"/>
        <v>1142278</v>
      </c>
      <c r="V10">
        <f t="shared" si="5"/>
        <v>1820.5446757645184</v>
      </c>
    </row>
    <row r="11" spans="1:22" x14ac:dyDescent="0.35">
      <c r="A11" t="s">
        <v>18</v>
      </c>
      <c r="B11">
        <f>8184+910+12</f>
        <v>9106</v>
      </c>
      <c r="C11">
        <v>40</v>
      </c>
      <c r="D11">
        <f t="shared" si="6"/>
        <v>4.3927081045464526E-3</v>
      </c>
      <c r="E11">
        <f>127346+82209</f>
        <v>209555</v>
      </c>
      <c r="F11">
        <f t="shared" si="0"/>
        <v>920.51394684823185</v>
      </c>
      <c r="I11" t="s">
        <v>18</v>
      </c>
      <c r="J11">
        <f>10382+1982+42</f>
        <v>12406</v>
      </c>
      <c r="K11">
        <v>18</v>
      </c>
      <c r="L11">
        <f t="shared" si="1"/>
        <v>1.4509108495889087E-3</v>
      </c>
      <c r="M11">
        <f>196767+180449</f>
        <v>377216</v>
      </c>
      <c r="N11">
        <f t="shared" si="2"/>
        <v>547.30678703852982</v>
      </c>
      <c r="Q11" t="s">
        <v>18</v>
      </c>
      <c r="R11">
        <f t="shared" si="7"/>
        <v>21512</v>
      </c>
      <c r="S11">
        <f t="shared" si="3"/>
        <v>58</v>
      </c>
      <c r="T11">
        <f t="shared" si="8"/>
        <v>2.6961695797694308E-3</v>
      </c>
      <c r="U11">
        <f t="shared" si="4"/>
        <v>586771</v>
      </c>
      <c r="V11">
        <f t="shared" si="5"/>
        <v>1582.0341204908887</v>
      </c>
    </row>
    <row r="12" spans="1:22" x14ac:dyDescent="0.35">
      <c r="A12" t="s">
        <v>19</v>
      </c>
      <c r="B12">
        <f>SUM(B3:B11)</f>
        <v>390114</v>
      </c>
      <c r="C12">
        <f>SUM(C3:C11)</f>
        <v>285</v>
      </c>
      <c r="E12">
        <f>SUM(E3:E11)</f>
        <v>9655422</v>
      </c>
      <c r="F12">
        <f>SUM(F3:F11)</f>
        <v>6686.0787092079063</v>
      </c>
      <c r="I12" t="s">
        <v>19</v>
      </c>
      <c r="J12">
        <f>SUM(J3:J11)</f>
        <v>369264</v>
      </c>
      <c r="K12">
        <f>SUM(K3:K11)</f>
        <v>199</v>
      </c>
      <c r="M12">
        <f>SUM(M3:M11)</f>
        <v>9731241</v>
      </c>
      <c r="N12">
        <f>SUM(N3:N11)</f>
        <v>5385.8464824003768</v>
      </c>
      <c r="Q12" t="s">
        <v>19</v>
      </c>
      <c r="R12">
        <f t="shared" si="7"/>
        <v>759378</v>
      </c>
      <c r="S12">
        <f t="shared" si="3"/>
        <v>484</v>
      </c>
      <c r="U12">
        <f t="shared" si="4"/>
        <v>19386663</v>
      </c>
      <c r="V12">
        <f>SUM(V3:V11)</f>
        <v>12300.502915918049</v>
      </c>
    </row>
    <row r="14" spans="1:22" x14ac:dyDescent="0.35">
      <c r="B14" t="s">
        <v>20</v>
      </c>
      <c r="D14">
        <f>((C12/B12)/21)*100000</f>
        <v>3.4788365891581869</v>
      </c>
      <c r="J14" t="s">
        <v>20</v>
      </c>
      <c r="L14">
        <f>((K12/J12)/21)*100000</f>
        <v>2.5662372926119192</v>
      </c>
      <c r="R14" t="s">
        <v>20</v>
      </c>
      <c r="T14">
        <f>((S12/R12)/21)*100000</f>
        <v>3.0350654150658891</v>
      </c>
    </row>
    <row r="15" spans="1:22" x14ac:dyDescent="0.35">
      <c r="B15" t="s">
        <v>21</v>
      </c>
      <c r="D15">
        <f>(F12/E12)/21*100000</f>
        <v>3.2974705863552281</v>
      </c>
      <c r="J15" t="s">
        <v>21</v>
      </c>
      <c r="L15">
        <f>(N12/M12)/21*100000</f>
        <v>2.6355207944629431</v>
      </c>
      <c r="R15" t="s">
        <v>21</v>
      </c>
      <c r="T15">
        <f>(V12/U12)/21*100000</f>
        <v>3.0213463456363563</v>
      </c>
    </row>
    <row r="20" spans="1:22" x14ac:dyDescent="0.35">
      <c r="A20" t="s">
        <v>22</v>
      </c>
      <c r="I20" t="s">
        <v>23</v>
      </c>
      <c r="Q20" t="s">
        <v>24</v>
      </c>
    </row>
    <row r="21" spans="1:22" x14ac:dyDescent="0.35">
      <c r="A21" t="s">
        <v>3</v>
      </c>
      <c r="B21" t="s">
        <v>4</v>
      </c>
      <c r="C21" t="s">
        <v>5</v>
      </c>
      <c r="D21" t="s">
        <v>6</v>
      </c>
      <c r="E21" t="s">
        <v>7</v>
      </c>
      <c r="F21" t="s">
        <v>8</v>
      </c>
      <c r="G21" t="s">
        <v>9</v>
      </c>
      <c r="I21" t="s">
        <v>3</v>
      </c>
      <c r="J21" t="s">
        <v>4</v>
      </c>
      <c r="K21" t="s">
        <v>5</v>
      </c>
      <c r="L21" t="s">
        <v>6</v>
      </c>
      <c r="M21" t="s">
        <v>7</v>
      </c>
      <c r="N21" t="s">
        <v>8</v>
      </c>
      <c r="O21" t="s">
        <v>9</v>
      </c>
      <c r="Q21" t="s">
        <v>3</v>
      </c>
      <c r="R21" t="s">
        <v>4</v>
      </c>
      <c r="S21" t="s">
        <v>5</v>
      </c>
      <c r="T21" t="s">
        <v>6</v>
      </c>
      <c r="U21" t="s">
        <v>7</v>
      </c>
      <c r="V21" t="s">
        <v>8</v>
      </c>
    </row>
    <row r="22" spans="1:22" x14ac:dyDescent="0.35">
      <c r="A22" t="s">
        <v>10</v>
      </c>
      <c r="B22">
        <v>13305</v>
      </c>
      <c r="C22">
        <v>22</v>
      </c>
      <c r="D22">
        <f>C22/B22</f>
        <v>1.6535137166478768E-3</v>
      </c>
      <c r="E22">
        <f>644853+681781</f>
        <v>1326634</v>
      </c>
      <c r="F22">
        <f>E22*D22</f>
        <v>2193.6075159714392</v>
      </c>
      <c r="I22" t="s">
        <v>10</v>
      </c>
      <c r="J22">
        <v>12872</v>
      </c>
      <c r="K22">
        <v>20</v>
      </c>
      <c r="L22">
        <f>K22/J22</f>
        <v>1.5537600994406464E-3</v>
      </c>
      <c r="M22">
        <f>612618+646509</f>
        <v>1259127</v>
      </c>
      <c r="N22">
        <f>M22*L22</f>
        <v>1956.3812927284027</v>
      </c>
      <c r="Q22" t="s">
        <v>10</v>
      </c>
      <c r="R22">
        <f t="shared" ref="R22:S31" si="9">B22+J22</f>
        <v>26177</v>
      </c>
      <c r="S22">
        <f t="shared" si="9"/>
        <v>42</v>
      </c>
      <c r="T22">
        <f>S22/R22</f>
        <v>1.6044619322305841E-3</v>
      </c>
      <c r="U22">
        <f t="shared" ref="U22:U31" si="10">E22+M22</f>
        <v>2585761</v>
      </c>
      <c r="V22">
        <f>U22*T22</f>
        <v>4148.7550903464871</v>
      </c>
    </row>
    <row r="23" spans="1:22" x14ac:dyDescent="0.35">
      <c r="A23" s="1" t="s">
        <v>11</v>
      </c>
      <c r="B23">
        <v>11581</v>
      </c>
      <c r="C23">
        <v>13</v>
      </c>
      <c r="D23">
        <f t="shared" ref="D23:D30" si="11">C23/B23</f>
        <v>1.1225282790777997E-3</v>
      </c>
      <c r="E23">
        <f>685397+697641</f>
        <v>1383038</v>
      </c>
      <c r="F23">
        <f t="shared" ref="F23:F30" si="12">E23*D23</f>
        <v>1552.499266039202</v>
      </c>
      <c r="I23" s="1" t="s">
        <v>11</v>
      </c>
      <c r="J23">
        <v>11062</v>
      </c>
      <c r="K23">
        <v>15</v>
      </c>
      <c r="L23">
        <f t="shared" ref="L23:L30" si="13">K23/J23</f>
        <v>1.3559934912312421E-3</v>
      </c>
      <c r="M23">
        <f>652060+664465</f>
        <v>1316525</v>
      </c>
      <c r="N23">
        <f t="shared" ref="N23:N30" si="14">M23*L23</f>
        <v>1785.199331043211</v>
      </c>
      <c r="Q23" s="1" t="s">
        <v>11</v>
      </c>
      <c r="R23">
        <f t="shared" si="9"/>
        <v>22643</v>
      </c>
      <c r="S23">
        <f t="shared" si="9"/>
        <v>28</v>
      </c>
      <c r="T23">
        <f t="shared" ref="T23:T30" si="15">S23/R23</f>
        <v>1.2365852581371726E-3</v>
      </c>
      <c r="U23">
        <f t="shared" si="10"/>
        <v>2699563</v>
      </c>
      <c r="V23">
        <f t="shared" ref="V23:V30" si="16">U23*T23</f>
        <v>3338.23980921256</v>
      </c>
    </row>
    <row r="24" spans="1:22" x14ac:dyDescent="0.35">
      <c r="A24" t="s">
        <v>12</v>
      </c>
      <c r="B24">
        <v>7735</v>
      </c>
      <c r="C24">
        <v>29</v>
      </c>
      <c r="D24">
        <f t="shared" si="11"/>
        <v>3.7491919844861023E-3</v>
      </c>
      <c r="E24">
        <f>706106+733221</f>
        <v>1439327</v>
      </c>
      <c r="F24">
        <f t="shared" si="12"/>
        <v>5396.3132514544277</v>
      </c>
      <c r="I24" t="s">
        <v>12</v>
      </c>
      <c r="J24">
        <v>8384</v>
      </c>
      <c r="K24">
        <v>35</v>
      </c>
      <c r="L24">
        <f t="shared" si="13"/>
        <v>4.174618320610687E-3</v>
      </c>
      <c r="M24">
        <f>676302+720166</f>
        <v>1396468</v>
      </c>
      <c r="N24">
        <f t="shared" si="14"/>
        <v>5829.7208969465646</v>
      </c>
      <c r="Q24" t="s">
        <v>12</v>
      </c>
      <c r="R24">
        <f t="shared" si="9"/>
        <v>16119</v>
      </c>
      <c r="S24">
        <f t="shared" si="9"/>
        <v>64</v>
      </c>
      <c r="T24">
        <f t="shared" si="15"/>
        <v>3.9704696321111732E-3</v>
      </c>
      <c r="U24">
        <f t="shared" si="10"/>
        <v>2835795</v>
      </c>
      <c r="V24">
        <f t="shared" si="16"/>
        <v>11259.437930392705</v>
      </c>
    </row>
    <row r="25" spans="1:22" x14ac:dyDescent="0.35">
      <c r="A25" t="s">
        <v>13</v>
      </c>
      <c r="B25">
        <v>6751</v>
      </c>
      <c r="C25">
        <v>27</v>
      </c>
      <c r="D25">
        <f t="shared" si="11"/>
        <v>3.9994074951858983E-3</v>
      </c>
      <c r="E25">
        <f>730244+738014</f>
        <v>1468258</v>
      </c>
      <c r="F25">
        <f t="shared" si="12"/>
        <v>5872.1620500666568</v>
      </c>
      <c r="I25" t="s">
        <v>13</v>
      </c>
      <c r="J25">
        <v>7161</v>
      </c>
      <c r="K25">
        <v>15</v>
      </c>
      <c r="L25">
        <f t="shared" si="13"/>
        <v>2.0946795140343527E-3</v>
      </c>
      <c r="M25">
        <f>731007+740208</f>
        <v>1471215</v>
      </c>
      <c r="N25">
        <f t="shared" si="14"/>
        <v>3081.7239212400505</v>
      </c>
      <c r="Q25" t="s">
        <v>13</v>
      </c>
      <c r="R25">
        <f t="shared" si="9"/>
        <v>13912</v>
      </c>
      <c r="S25">
        <f t="shared" si="9"/>
        <v>42</v>
      </c>
      <c r="T25">
        <f t="shared" si="15"/>
        <v>3.0189764232317422E-3</v>
      </c>
      <c r="U25">
        <f t="shared" si="10"/>
        <v>2939473</v>
      </c>
      <c r="V25">
        <f t="shared" si="16"/>
        <v>8874.1996837262795</v>
      </c>
    </row>
    <row r="26" spans="1:22" x14ac:dyDescent="0.35">
      <c r="A26" t="s">
        <v>14</v>
      </c>
      <c r="B26">
        <v>6082</v>
      </c>
      <c r="C26">
        <v>41</v>
      </c>
      <c r="D26">
        <f t="shared" si="11"/>
        <v>6.7412035514633345E-3</v>
      </c>
      <c r="E26">
        <f>736361+679714</f>
        <v>1416075</v>
      </c>
      <c r="F26">
        <f t="shared" si="12"/>
        <v>9546.0498191384413</v>
      </c>
      <c r="I26" t="s">
        <v>14</v>
      </c>
      <c r="J26">
        <v>6436</v>
      </c>
      <c r="K26">
        <v>27</v>
      </c>
      <c r="L26">
        <f t="shared" si="13"/>
        <v>4.1951522684897449E-3</v>
      </c>
      <c r="M26">
        <f>737724+681146</f>
        <v>1418870</v>
      </c>
      <c r="N26">
        <f t="shared" si="14"/>
        <v>5952.3756991920445</v>
      </c>
      <c r="Q26" t="s">
        <v>14</v>
      </c>
      <c r="R26">
        <f t="shared" si="9"/>
        <v>12518</v>
      </c>
      <c r="S26">
        <f t="shared" si="9"/>
        <v>68</v>
      </c>
      <c r="T26">
        <f t="shared" si="15"/>
        <v>5.4321776641636042E-3</v>
      </c>
      <c r="U26">
        <f t="shared" si="10"/>
        <v>2834945</v>
      </c>
      <c r="V26">
        <f t="shared" si="16"/>
        <v>15399.924908132289</v>
      </c>
    </row>
    <row r="27" spans="1:22" x14ac:dyDescent="0.35">
      <c r="A27" t="s">
        <v>15</v>
      </c>
      <c r="B27">
        <v>4177</v>
      </c>
      <c r="C27">
        <v>57</v>
      </c>
      <c r="D27">
        <f t="shared" si="11"/>
        <v>1.3646157529327269E-2</v>
      </c>
      <c r="E27">
        <f>650508+507117</f>
        <v>1157625</v>
      </c>
      <c r="F27">
        <f t="shared" si="12"/>
        <v>15797.13310988748</v>
      </c>
      <c r="I27" t="s">
        <v>15</v>
      </c>
      <c r="J27">
        <v>4498</v>
      </c>
      <c r="K27">
        <v>46</v>
      </c>
      <c r="L27">
        <f t="shared" si="13"/>
        <v>1.0226767452200978E-2</v>
      </c>
      <c r="M27">
        <f>635827+491284</f>
        <v>1127111</v>
      </c>
      <c r="N27">
        <f t="shared" si="14"/>
        <v>11526.702089817696</v>
      </c>
      <c r="Q27" t="s">
        <v>15</v>
      </c>
      <c r="R27">
        <f t="shared" si="9"/>
        <v>8675</v>
      </c>
      <c r="S27">
        <f t="shared" si="9"/>
        <v>103</v>
      </c>
      <c r="T27">
        <f t="shared" si="15"/>
        <v>1.1873198847262248E-2</v>
      </c>
      <c r="U27">
        <f t="shared" si="10"/>
        <v>2284736</v>
      </c>
      <c r="V27">
        <f t="shared" si="16"/>
        <v>27127.12484149856</v>
      </c>
    </row>
    <row r="28" spans="1:22" x14ac:dyDescent="0.35">
      <c r="A28" t="s">
        <v>16</v>
      </c>
      <c r="B28">
        <v>2006</v>
      </c>
      <c r="C28">
        <v>22</v>
      </c>
      <c r="D28">
        <f t="shared" si="11"/>
        <v>1.0967098703888335E-2</v>
      </c>
      <c r="E28">
        <f>404506+329739</f>
        <v>734245</v>
      </c>
      <c r="F28">
        <f t="shared" si="12"/>
        <v>8052.5373878364899</v>
      </c>
      <c r="I28" t="s">
        <v>16</v>
      </c>
      <c r="J28">
        <v>2362</v>
      </c>
      <c r="K28">
        <v>32</v>
      </c>
      <c r="L28">
        <f t="shared" si="13"/>
        <v>1.3547840812870448E-2</v>
      </c>
      <c r="M28">
        <f>399772+343324</f>
        <v>743096</v>
      </c>
      <c r="N28">
        <f t="shared" si="14"/>
        <v>10067.346316680778</v>
      </c>
      <c r="Q28" t="s">
        <v>16</v>
      </c>
      <c r="R28">
        <f t="shared" si="9"/>
        <v>4368</v>
      </c>
      <c r="S28">
        <f t="shared" si="9"/>
        <v>54</v>
      </c>
      <c r="T28">
        <f t="shared" si="15"/>
        <v>1.2362637362637362E-2</v>
      </c>
      <c r="U28">
        <f t="shared" si="10"/>
        <v>1477341</v>
      </c>
      <c r="V28">
        <f t="shared" si="16"/>
        <v>18263.831043956045</v>
      </c>
    </row>
    <row r="29" spans="1:22" x14ac:dyDescent="0.35">
      <c r="A29" t="s">
        <v>17</v>
      </c>
      <c r="B29">
        <v>685</v>
      </c>
      <c r="C29">
        <v>11</v>
      </c>
      <c r="D29">
        <f t="shared" si="11"/>
        <v>1.6058394160583942E-2</v>
      </c>
      <c r="E29">
        <f>297158+223507</f>
        <v>520665</v>
      </c>
      <c r="F29">
        <f t="shared" si="12"/>
        <v>8361.0437956204387</v>
      </c>
      <c r="I29" t="s">
        <v>17</v>
      </c>
      <c r="J29">
        <v>947</v>
      </c>
      <c r="K29">
        <v>18</v>
      </c>
      <c r="L29">
        <f t="shared" si="13"/>
        <v>1.9007391763463569E-2</v>
      </c>
      <c r="M29">
        <f>331260+290353</f>
        <v>621613</v>
      </c>
      <c r="N29">
        <f t="shared" si="14"/>
        <v>11815.24181626188</v>
      </c>
      <c r="Q29" t="s">
        <v>17</v>
      </c>
      <c r="R29">
        <f t="shared" si="9"/>
        <v>1632</v>
      </c>
      <c r="S29">
        <f t="shared" si="9"/>
        <v>29</v>
      </c>
      <c r="T29">
        <f t="shared" si="15"/>
        <v>1.7769607843137254E-2</v>
      </c>
      <c r="U29">
        <f t="shared" si="10"/>
        <v>1142278</v>
      </c>
      <c r="V29">
        <f t="shared" si="16"/>
        <v>20297.832107843136</v>
      </c>
    </row>
    <row r="30" spans="1:22" x14ac:dyDescent="0.35">
      <c r="A30" t="s">
        <v>18</v>
      </c>
      <c r="B30">
        <f>196+42</f>
        <v>238</v>
      </c>
      <c r="C30">
        <v>8</v>
      </c>
      <c r="D30">
        <f t="shared" si="11"/>
        <v>3.3613445378151259E-2</v>
      </c>
      <c r="E30">
        <f>127346+82209</f>
        <v>209555</v>
      </c>
      <c r="F30">
        <f t="shared" si="12"/>
        <v>7043.865546218487</v>
      </c>
      <c r="I30" t="s">
        <v>18</v>
      </c>
      <c r="J30">
        <f>334+51+3</f>
        <v>388</v>
      </c>
      <c r="K30">
        <v>4</v>
      </c>
      <c r="L30">
        <f t="shared" si="13"/>
        <v>1.0309278350515464E-2</v>
      </c>
      <c r="M30">
        <f>196767+180449</f>
        <v>377216</v>
      </c>
      <c r="N30">
        <f t="shared" si="14"/>
        <v>3888.8247422680411</v>
      </c>
      <c r="Q30" t="s">
        <v>18</v>
      </c>
      <c r="R30">
        <f t="shared" si="9"/>
        <v>626</v>
      </c>
      <c r="S30">
        <f t="shared" si="9"/>
        <v>12</v>
      </c>
      <c r="T30">
        <f t="shared" si="15"/>
        <v>1.9169329073482427E-2</v>
      </c>
      <c r="U30">
        <f t="shared" si="10"/>
        <v>586771</v>
      </c>
      <c r="V30">
        <f t="shared" si="16"/>
        <v>11248.006389776358</v>
      </c>
    </row>
    <row r="31" spans="1:22" x14ac:dyDescent="0.35">
      <c r="A31" t="s">
        <v>19</v>
      </c>
      <c r="B31">
        <f>SUM(B22:B30)</f>
        <v>52560</v>
      </c>
      <c r="C31">
        <f>SUM(C22:C30)</f>
        <v>230</v>
      </c>
      <c r="E31">
        <f>SUM(E22:E30)</f>
        <v>9655422</v>
      </c>
      <c r="F31">
        <f>SUM(F22:F30)</f>
        <v>63815.211742233063</v>
      </c>
      <c r="I31" t="s">
        <v>19</v>
      </c>
      <c r="J31">
        <f>SUM(J22:J30)</f>
        <v>54110</v>
      </c>
      <c r="K31">
        <f>SUM(K22:K30)</f>
        <v>212</v>
      </c>
      <c r="M31">
        <f>SUM(M22:M30)</f>
        <v>9731241</v>
      </c>
      <c r="N31">
        <f>SUM(N22:N30)</f>
        <v>55903.516106178671</v>
      </c>
      <c r="Q31" t="s">
        <v>19</v>
      </c>
      <c r="R31">
        <f t="shared" si="9"/>
        <v>106670</v>
      </c>
      <c r="S31">
        <f t="shared" si="9"/>
        <v>442</v>
      </c>
      <c r="U31">
        <f t="shared" si="10"/>
        <v>19386663</v>
      </c>
      <c r="V31">
        <f>SUM(V22:V30)</f>
        <v>119957.35180488441</v>
      </c>
    </row>
    <row r="33" spans="2:20" x14ac:dyDescent="0.35">
      <c r="B33" t="s">
        <v>20</v>
      </c>
      <c r="D33">
        <f>((C31/B31)/21)*100000</f>
        <v>20.837863303616729</v>
      </c>
      <c r="J33" t="s">
        <v>20</v>
      </c>
      <c r="L33">
        <f>((K31/J31)/21)*100000</f>
        <v>18.656880604764542</v>
      </c>
      <c r="R33" t="s">
        <v>20</v>
      </c>
      <c r="T33">
        <f>((S31/R31)/21)*100000</f>
        <v>19.731526246947642</v>
      </c>
    </row>
    <row r="34" spans="2:20" x14ac:dyDescent="0.35">
      <c r="B34" t="s">
        <v>21</v>
      </c>
      <c r="D34">
        <f>(F31/E31)/21*100000</f>
        <v>31.472675215780345</v>
      </c>
      <c r="J34" t="s">
        <v>21</v>
      </c>
      <c r="L34">
        <f>(N31/M31)/21*100000</f>
        <v>27.355937393106569</v>
      </c>
      <c r="R34" t="s">
        <v>21</v>
      </c>
      <c r="T34">
        <f>(V31/U31)/21*100000</f>
        <v>29.464868955795225</v>
      </c>
    </row>
    <row r="40" spans="2:20" ht="35.5" thickBot="1" x14ac:dyDescent="0.4">
      <c r="B40" s="2"/>
      <c r="C40" s="2" t="s">
        <v>25</v>
      </c>
      <c r="D40" s="2" t="s">
        <v>26</v>
      </c>
      <c r="E40" s="2" t="s">
        <v>27</v>
      </c>
      <c r="F40" s="2" t="s">
        <v>28</v>
      </c>
      <c r="G40" s="2" t="s">
        <v>29</v>
      </c>
      <c r="H40" s="2" t="s">
        <v>30</v>
      </c>
    </row>
    <row r="41" spans="2:20" ht="17.5" x14ac:dyDescent="0.35">
      <c r="B41" s="3"/>
      <c r="C41" s="3"/>
      <c r="D41" s="3"/>
      <c r="E41" s="3"/>
      <c r="F41" s="3"/>
      <c r="G41" s="3"/>
      <c r="H41" s="3"/>
    </row>
    <row r="42" spans="2:20" ht="18" thickBot="1" x14ac:dyDescent="0.4">
      <c r="B42" s="4">
        <v>1</v>
      </c>
      <c r="C42" s="5">
        <v>285</v>
      </c>
      <c r="D42" s="5">
        <v>390114</v>
      </c>
      <c r="E42" s="6" t="s">
        <v>31</v>
      </c>
      <c r="F42" s="5">
        <v>3.478837</v>
      </c>
      <c r="G42" s="5">
        <v>3.0866319999999998</v>
      </c>
      <c r="H42" s="5">
        <v>3.9070719999999999</v>
      </c>
    </row>
    <row r="43" spans="2:20" ht="18" thickBot="1" x14ac:dyDescent="0.4">
      <c r="B43" s="4">
        <v>2</v>
      </c>
      <c r="C43" s="5">
        <v>199</v>
      </c>
      <c r="D43" s="5">
        <v>369264</v>
      </c>
      <c r="E43" s="6" t="s">
        <v>32</v>
      </c>
      <c r="F43" s="5">
        <v>2.5662370000000001</v>
      </c>
      <c r="G43" s="5">
        <v>2.2220559999999998</v>
      </c>
      <c r="H43" s="5">
        <v>2.9486289999999999</v>
      </c>
    </row>
    <row r="44" spans="2:20" ht="18" thickBot="1" x14ac:dyDescent="0.4">
      <c r="B44" s="4">
        <v>3</v>
      </c>
      <c r="C44" s="5">
        <v>230</v>
      </c>
      <c r="D44" s="5">
        <v>52560</v>
      </c>
      <c r="E44" s="6" t="s">
        <v>33</v>
      </c>
      <c r="F44" s="5">
        <v>20.837862999999999</v>
      </c>
      <c r="G44" s="5">
        <v>18.231667999999999</v>
      </c>
      <c r="H44" s="5">
        <v>23.712078000000002</v>
      </c>
    </row>
    <row r="45" spans="2:20" ht="18" thickBot="1" x14ac:dyDescent="0.4">
      <c r="B45" s="4">
        <v>4</v>
      </c>
      <c r="C45" s="5">
        <v>212</v>
      </c>
      <c r="D45" s="5">
        <v>54110</v>
      </c>
      <c r="E45" s="6" t="s">
        <v>34</v>
      </c>
      <c r="F45" s="5">
        <v>18.656880999999998</v>
      </c>
      <c r="G45" s="5">
        <v>16.229825000000002</v>
      </c>
      <c r="H45" s="5">
        <v>21.344508999999999</v>
      </c>
    </row>
    <row r="46" spans="2:20" ht="18" thickBot="1" x14ac:dyDescent="0.4">
      <c r="B46" s="4">
        <v>5</v>
      </c>
      <c r="C46" s="5">
        <v>484</v>
      </c>
      <c r="D46" s="5">
        <v>759378</v>
      </c>
      <c r="E46" s="6" t="s">
        <v>35</v>
      </c>
      <c r="F46" s="5">
        <v>3.0350649999999999</v>
      </c>
      <c r="G46" s="5">
        <v>2.770661</v>
      </c>
      <c r="H46" s="5">
        <v>3.3178969999999999</v>
      </c>
    </row>
    <row r="47" spans="2:20" ht="18" thickBot="1" x14ac:dyDescent="0.4">
      <c r="B47" s="4">
        <v>6</v>
      </c>
      <c r="C47" s="5">
        <v>442</v>
      </c>
      <c r="D47" s="5">
        <v>106670</v>
      </c>
      <c r="E47" s="6" t="s">
        <v>36</v>
      </c>
      <c r="F47" s="5">
        <v>19.731525999999999</v>
      </c>
      <c r="G47" s="5">
        <v>17.934676</v>
      </c>
      <c r="H47" s="5">
        <v>21.659649000000002</v>
      </c>
    </row>
    <row r="48" spans="2:20" ht="18" thickBot="1" x14ac:dyDescent="0.4">
      <c r="B48" s="4">
        <v>7</v>
      </c>
      <c r="C48" s="5">
        <v>6686.0789999999997</v>
      </c>
      <c r="D48" s="5">
        <v>9655422</v>
      </c>
      <c r="E48" s="6" t="s">
        <v>37</v>
      </c>
      <c r="F48" s="5">
        <v>3.2974709999999998</v>
      </c>
      <c r="G48" s="5">
        <v>3.218899</v>
      </c>
      <c r="H48" s="5">
        <v>3.377475</v>
      </c>
    </row>
    <row r="49" spans="2:16" ht="18" thickBot="1" x14ac:dyDescent="0.4">
      <c r="B49" s="4">
        <v>8</v>
      </c>
      <c r="C49" s="5">
        <v>5385.8459999999995</v>
      </c>
      <c r="D49" s="5">
        <v>9731241</v>
      </c>
      <c r="E49" s="6" t="s">
        <v>38</v>
      </c>
      <c r="F49" s="5">
        <v>2.6355209999999998</v>
      </c>
      <c r="G49" s="5">
        <v>2.5655990000000002</v>
      </c>
      <c r="H49" s="5">
        <v>2.7068650000000001</v>
      </c>
    </row>
    <row r="50" spans="2:16" ht="18" thickBot="1" x14ac:dyDescent="0.4">
      <c r="B50" s="4">
        <v>9</v>
      </c>
      <c r="C50" s="5">
        <v>63815.212</v>
      </c>
      <c r="D50" s="5">
        <v>9655422</v>
      </c>
      <c r="E50" s="6" t="s">
        <v>39</v>
      </c>
      <c r="F50" s="5">
        <v>31.472674999999999</v>
      </c>
      <c r="G50" s="5">
        <v>31.228957000000001</v>
      </c>
      <c r="H50" s="5">
        <v>31.717822000000002</v>
      </c>
    </row>
    <row r="51" spans="2:16" ht="18" thickBot="1" x14ac:dyDescent="0.4">
      <c r="B51" s="4">
        <v>10</v>
      </c>
      <c r="C51" s="5">
        <v>55903.516000000003</v>
      </c>
      <c r="D51" s="5">
        <v>9731241</v>
      </c>
      <c r="E51" s="6" t="s">
        <v>40</v>
      </c>
      <c r="F51" s="5">
        <v>27.355937000000001</v>
      </c>
      <c r="G51" s="5">
        <v>27.129633999999999</v>
      </c>
      <c r="H51" s="5">
        <v>27.583659000000001</v>
      </c>
    </row>
    <row r="52" spans="2:16" ht="18" thickBot="1" x14ac:dyDescent="0.45">
      <c r="B52" s="4">
        <v>11</v>
      </c>
      <c r="C52" s="5">
        <v>12300.503000000001</v>
      </c>
      <c r="D52" s="5">
        <v>19386663</v>
      </c>
      <c r="E52" s="6" t="s">
        <v>41</v>
      </c>
      <c r="F52" s="5">
        <v>3.0213459999999999</v>
      </c>
      <c r="G52" s="5">
        <v>2.9681860000000002</v>
      </c>
      <c r="H52" s="5">
        <v>3.0752199999999998</v>
      </c>
      <c r="J52" s="7"/>
      <c r="K52" s="8"/>
      <c r="L52" s="8"/>
      <c r="M52" s="8"/>
      <c r="N52" s="8"/>
      <c r="O52" s="8"/>
      <c r="P52" s="8"/>
    </row>
    <row r="53" spans="2:16" ht="18" thickBot="1" x14ac:dyDescent="0.4">
      <c r="B53" s="4">
        <v>12</v>
      </c>
      <c r="C53" s="5">
        <v>119957.352</v>
      </c>
      <c r="D53" s="5">
        <v>19386663</v>
      </c>
      <c r="E53" s="6" t="s">
        <v>42</v>
      </c>
      <c r="F53" s="5">
        <v>29.464869</v>
      </c>
      <c r="G53" s="5">
        <v>29.298362000000001</v>
      </c>
      <c r="H53" s="5">
        <v>29.632088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James Cook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Himali Ratnayake</dc:creator>
  <cp:lastModifiedBy>Himali Ratnayake</cp:lastModifiedBy>
  <dcterms:created xsi:type="dcterms:W3CDTF">2026-04-16T04:32:26Z</dcterms:created>
  <dcterms:modified xsi:type="dcterms:W3CDTF">2026-04-16T04:33:07Z</dcterms:modified>
</cp:coreProperties>
</file>