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uclac-my.sharepoint.com/personal/rmjlrm1_ucl_ac_uk/Documents/HomeHealth/"/>
    </mc:Choice>
  </mc:AlternateContent>
  <xr:revisionPtr revIDLastSave="230" documentId="8_{4F4A917D-4C04-416C-896A-6CCF604185C7}" xr6:coauthVersionLast="47" xr6:coauthVersionMax="47" xr10:uidLastSave="{752395B4-5B84-41AC-88CC-E2A6F60AB482}"/>
  <bookViews>
    <workbookView xWindow="-120" yWindow="-120" windowWidth="29040" windowHeight="15720" xr2:uid="{00000000-000D-0000-FFFF-FFFF00000000}"/>
  </bookViews>
  <sheets>
    <sheet name="Inputs" sheetId="2" r:id="rId1"/>
    <sheet name="Outputs" sheetId="3" r:id="rId2"/>
  </sheets>
  <externalReferences>
    <externalReference r:id="rId3"/>
  </externalReferences>
  <definedNames>
    <definedName name="caseload">Inputs!$E$14</definedName>
    <definedName name="consumables">Inputs!$E$72</definedName>
    <definedName name="cost_trainers">Inputs!$E$31</definedName>
    <definedName name="Group_A_1">'[1]Resource use CSRI'!$E$4</definedName>
    <definedName name="Group_A_2">'[1]Resource use CSRI'!$H$4</definedName>
    <definedName name="Group_A_3">'[1]Resource use CSRI'!$K$4</definedName>
    <definedName name="Group_A_4">'[1]Patient files'!$E$5</definedName>
    <definedName name="Group_B_1">'[1]Resource use CSRI'!$F$4</definedName>
    <definedName name="Group_B_2">'[1]Resource use CSRI'!$I$4</definedName>
    <definedName name="Group_B_3">'[1]Resource use CSRI'!$L$4</definedName>
    <definedName name="Group_B_4">'[1]Patient files'!$F$5</definedName>
    <definedName name="inter_dur">Inputs!$E$68</definedName>
    <definedName name="num_staff_sup">Inputs!$E$64</definedName>
    <definedName name="staff_session">Inputs!$E$12</definedName>
    <definedName name="staff_wage">Inputs!$H$10</definedName>
    <definedName name="super_time">Inputs!$E$62</definedName>
    <definedName name="super_wage">Inputs!$E$60</definedName>
    <definedName name="travel">Inputs!$E$35</definedName>
    <definedName name="travel_dur">Inputs!$E$70</definedName>
    <definedName name="turnover">Inputs!$E$20</definedName>
    <definedName name="wage_snr_spec">Inputs!$E$25</definedName>
    <definedName name="wage_spec_1">Inputs!$E$27</definedName>
    <definedName name="wage_spec_2">Inputs!$E$29</definedName>
    <definedName name="wage_team_leader">Inputs!$E$33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2" l="1"/>
  <c r="R17" i="2"/>
  <c r="P49" i="2"/>
  <c r="P51" i="2"/>
  <c r="P53" i="2"/>
  <c r="P55" i="2"/>
  <c r="Q55" i="2"/>
  <c r="Q53" i="2"/>
  <c r="Q51" i="2"/>
  <c r="Q49" i="2"/>
  <c r="Q47" i="2"/>
  <c r="P47" i="2"/>
  <c r="Q45" i="2"/>
  <c r="Q43" i="2" l="1"/>
  <c r="P45" i="2"/>
  <c r="P43" i="2"/>
  <c r="P41" i="2"/>
  <c r="Q41" i="2"/>
  <c r="Q39" i="2"/>
  <c r="P39" i="2"/>
  <c r="D92" i="2"/>
  <c r="D91" i="2"/>
  <c r="D90" i="2"/>
  <c r="D89" i="2"/>
  <c r="D88" i="2"/>
  <c r="D11" i="3" l="1"/>
  <c r="P29" i="2"/>
  <c r="R21" i="2"/>
  <c r="P27" i="2"/>
  <c r="R27" i="2" s="1"/>
  <c r="R29" i="2"/>
  <c r="P23" i="2"/>
  <c r="R23" i="2" s="1"/>
  <c r="I24" i="2"/>
  <c r="K24" i="2" s="1"/>
  <c r="F38" i="3"/>
  <c r="G33" i="2" l="1"/>
  <c r="E33" i="2" s="1"/>
  <c r="D23" i="3" l="1"/>
  <c r="D19" i="3"/>
  <c r="D7" i="3"/>
  <c r="D13" i="3"/>
  <c r="D9" i="3"/>
  <c r="D21" i="3"/>
  <c r="D15" i="3"/>
  <c r="D17" i="3"/>
  <c r="F37" i="3"/>
  <c r="F45" i="3" s="1"/>
  <c r="D25" i="3"/>
  <c r="H10" i="2"/>
  <c r="E33" i="3" s="1"/>
  <c r="E34" i="3" l="1"/>
  <c r="E35" i="3"/>
  <c r="E11" i="3"/>
  <c r="E7" i="3"/>
  <c r="E23" i="3"/>
  <c r="E9" i="3"/>
  <c r="E19" i="3"/>
  <c r="E17" i="3"/>
  <c r="E13" i="3"/>
  <c r="E21" i="3"/>
  <c r="E15" i="3"/>
  <c r="E42" i="3"/>
  <c r="E41" i="3"/>
  <c r="I22" i="2" l="1"/>
  <c r="I20" i="2"/>
  <c r="K22" i="2"/>
  <c r="K20" i="2"/>
  <c r="D27" i="3"/>
  <c r="D29" i="3" s="1"/>
  <c r="P25" i="2" s="1"/>
  <c r="R25" i="2" s="1"/>
  <c r="E27" i="3"/>
  <c r="E29" i="3" s="1"/>
  <c r="P31" i="2" l="1"/>
  <c r="R31" i="2"/>
  <c r="I18" i="2"/>
  <c r="I26" i="2" s="1"/>
  <c r="E31" i="3"/>
  <c r="E45" i="3" s="1"/>
  <c r="D31" i="3"/>
  <c r="D45" i="3" l="1"/>
  <c r="K18" i="2"/>
  <c r="K26" i="2" s="1"/>
</calcChain>
</file>

<file path=xl/sharedStrings.xml><?xml version="1.0" encoding="utf-8"?>
<sst xmlns="http://schemas.openxmlformats.org/spreadsheetml/2006/main" count="106" uniqueCount="90">
  <si>
    <t>Training</t>
  </si>
  <si>
    <t>Other</t>
  </si>
  <si>
    <t>Behaviour Change</t>
  </si>
  <si>
    <t>Physical Activity training</t>
  </si>
  <si>
    <t>Travel costs</t>
  </si>
  <si>
    <t>Total</t>
  </si>
  <si>
    <t>Average cost per patient*</t>
  </si>
  <si>
    <t>Consumables</t>
  </si>
  <si>
    <t>Intervention</t>
  </si>
  <si>
    <t>Total average cost per patient</t>
  </si>
  <si>
    <t>Cost per patient</t>
  </si>
  <si>
    <t>Inputs</t>
  </si>
  <si>
    <t>Specialist 1</t>
  </si>
  <si>
    <t>Senior Specialist</t>
  </si>
  <si>
    <t>Specialist 2</t>
  </si>
  <si>
    <t>Notes</t>
  </si>
  <si>
    <t>Staff per training session</t>
  </si>
  <si>
    <t>Home health staff</t>
  </si>
  <si>
    <t>Supervision</t>
  </si>
  <si>
    <t>Hours of supervision per staff member</t>
  </si>
  <si>
    <t>Average number of minutes per patient</t>
  </si>
  <si>
    <t>Travel time</t>
  </si>
  <si>
    <t>Average travel time per patient</t>
  </si>
  <si>
    <t>Home care worker (private sector)</t>
  </si>
  <si>
    <t>Average duration of employment (in years)</t>
  </si>
  <si>
    <t>Training costs</t>
  </si>
  <si>
    <t>Staff costs</t>
  </si>
  <si>
    <t>Cost per staff member</t>
  </si>
  <si>
    <t>Presented by</t>
  </si>
  <si>
    <t>Person 1</t>
  </si>
  <si>
    <t>Person 2</t>
  </si>
  <si>
    <t>Preparation time (hours)</t>
  </si>
  <si>
    <r>
      <t>Cost per hour</t>
    </r>
    <r>
      <rPr>
        <vertAlign val="superscript"/>
        <sz val="11"/>
        <color theme="1"/>
        <rFont val="Calibri"/>
        <family val="2"/>
        <scheme val="minor"/>
      </rPr>
      <t>1</t>
    </r>
  </si>
  <si>
    <t>Wages</t>
  </si>
  <si>
    <t>Wage</t>
  </si>
  <si>
    <t>Total cost of training</t>
  </si>
  <si>
    <t xml:space="preserve">Regular supervision meetings </t>
  </si>
  <si>
    <t>Patient contact</t>
  </si>
  <si>
    <t>Per patient</t>
  </si>
  <si>
    <t>Per staff member</t>
  </si>
  <si>
    <t>Total Cost of Intervention (including training)</t>
  </si>
  <si>
    <t>1: Costs of trainers includes oncosts and overheads</t>
  </si>
  <si>
    <t>Duration of training session (in hours)</t>
  </si>
  <si>
    <t>Service overview</t>
  </si>
  <si>
    <t>Intervention manual</t>
  </si>
  <si>
    <t>Mild Frailty</t>
  </si>
  <si>
    <t>Communication skills</t>
  </si>
  <si>
    <t>Nutrition</t>
  </si>
  <si>
    <t>Team Leader</t>
  </si>
  <si>
    <t>Behaviour change top up</t>
  </si>
  <si>
    <t>Psychological wellbeing</t>
  </si>
  <si>
    <t>Intervention (cost per paticipant approach)</t>
  </si>
  <si>
    <t>Hosting fees</t>
  </si>
  <si>
    <t>FTE</t>
  </si>
  <si>
    <t>mild frailty</t>
  </si>
  <si>
    <t>Number of staff per supervisor</t>
  </si>
  <si>
    <t xml:space="preserve">Cost per staff member </t>
  </si>
  <si>
    <t>Salary &amp; oncosts</t>
  </si>
  <si>
    <t>Total costs (caseload approach)</t>
  </si>
  <si>
    <t>Total costs (using intervention time)</t>
  </si>
  <si>
    <t>caseload</t>
  </si>
  <si>
    <t>Patient caseload per 100% FTE staff per year</t>
  </si>
  <si>
    <t xml:space="preserve">Other* </t>
  </si>
  <si>
    <t>Other*</t>
  </si>
  <si>
    <t>*Additional costs &amp; Hosting fees</t>
  </si>
  <si>
    <t>Training**</t>
  </si>
  <si>
    <t>Supervision**</t>
  </si>
  <si>
    <t xml:space="preserve">**Additional costs not including HHW staff time </t>
  </si>
  <si>
    <t>NHS Band 3</t>
  </si>
  <si>
    <t>NHS Band 4</t>
  </si>
  <si>
    <t>NHS Band 5</t>
  </si>
  <si>
    <t>NHS Band 6</t>
  </si>
  <si>
    <t>NHS Band 7</t>
  </si>
  <si>
    <t>Cost per hour of staff [1]</t>
  </si>
  <si>
    <t>External trainers [2]</t>
  </si>
  <si>
    <t>2. Personal Communication - HomeHealth trial team</t>
  </si>
  <si>
    <t>3. Personal communication - Third sector providers of HomeHealth intervention</t>
  </si>
  <si>
    <t>Salary &amp; oncosts (100%FTE) [3]</t>
  </si>
  <si>
    <t>NHS Band (or equivalent) [1]</t>
  </si>
  <si>
    <t>Additional costs per staff (IT, phone &amp; travel) [2]</t>
  </si>
  <si>
    <t>Hosting fees per staff (1 year) [2]</t>
  </si>
  <si>
    <t>Senior Specialist [1]</t>
  </si>
  <si>
    <t>Specialist 1 [1]</t>
  </si>
  <si>
    <t>Specialist 2 [1]</t>
  </si>
  <si>
    <t>External trainers - cost per session [2]</t>
  </si>
  <si>
    <t>Team Leader [1]</t>
  </si>
  <si>
    <t>Cost of travel (external trainers) [2]</t>
  </si>
  <si>
    <t>Hourly wage of supervisor [1]</t>
  </si>
  <si>
    <t>Cost per patient of consumables [2]</t>
  </si>
  <si>
    <t>1. Jones KC, Weatherly H, Birch S, Castelli A, Chalkley M, Dargan A, et al. Unit Costs of Health and Social Care 2022 Manual. Kent, UK;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</si>
</sst>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4FA2B7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B0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0DD"/>
        <bgColor indexed="64"/>
      </patternFill>
    </fill>
    <fill>
      <patternFill patternType="solid">
        <fgColor rgb="FFE7DDE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B384C"/>
      </left>
      <right style="medium">
        <color rgb="FF4B384C"/>
      </right>
      <top style="medium">
        <color rgb="FF4B384C"/>
      </top>
      <bottom style="medium">
        <color rgb="FF4B384C"/>
      </bottom>
      <diagonal/>
    </border>
    <border>
      <left style="medium">
        <color rgb="FF4B384C"/>
      </left>
      <right/>
      <top style="medium">
        <color rgb="FF4B384C"/>
      </top>
      <bottom style="medium">
        <color rgb="FF4B384C"/>
      </bottom>
      <diagonal/>
    </border>
    <border>
      <left/>
      <right/>
      <top style="medium">
        <color rgb="FF4B384C"/>
      </top>
      <bottom style="medium">
        <color rgb="FF4B384C"/>
      </bottom>
      <diagonal/>
    </border>
    <border>
      <left/>
      <right style="medium">
        <color rgb="FF4B384C"/>
      </right>
      <top style="medium">
        <color rgb="FF4B384C"/>
      </top>
      <bottom style="medium">
        <color rgb="FF4B384C"/>
      </bottom>
      <diagonal/>
    </border>
    <border>
      <left style="medium">
        <color rgb="FF8C8279"/>
      </left>
      <right style="medium">
        <color rgb="FF8C8279"/>
      </right>
      <top style="medium">
        <color rgb="FF8C8279"/>
      </top>
      <bottom style="medium">
        <color rgb="FF8C8279"/>
      </bottom>
      <diagonal/>
    </border>
    <border>
      <left style="medium">
        <color rgb="FF8C8279"/>
      </left>
      <right/>
      <top style="medium">
        <color rgb="FF8C8279"/>
      </top>
      <bottom/>
      <diagonal/>
    </border>
    <border>
      <left/>
      <right/>
      <top style="medium">
        <color rgb="FF8C8279"/>
      </top>
      <bottom/>
      <diagonal/>
    </border>
    <border>
      <left/>
      <right style="medium">
        <color rgb="FF8C8279"/>
      </right>
      <top style="medium">
        <color rgb="FF8C8279"/>
      </top>
      <bottom/>
      <diagonal/>
    </border>
    <border>
      <left style="medium">
        <color rgb="FF8C8279"/>
      </left>
      <right/>
      <top/>
      <bottom/>
      <diagonal/>
    </border>
    <border>
      <left/>
      <right style="medium">
        <color rgb="FF8C8279"/>
      </right>
      <top/>
      <bottom/>
      <diagonal/>
    </border>
    <border>
      <left style="medium">
        <color rgb="FF8C8279"/>
      </left>
      <right/>
      <top/>
      <bottom style="medium">
        <color rgb="FF8C8279"/>
      </bottom>
      <diagonal/>
    </border>
    <border>
      <left/>
      <right/>
      <top/>
      <bottom style="medium">
        <color rgb="FF8C8279"/>
      </bottom>
      <diagonal/>
    </border>
    <border>
      <left/>
      <right style="medium">
        <color rgb="FF8C8279"/>
      </right>
      <top/>
      <bottom style="medium">
        <color rgb="FF8C8279"/>
      </bottom>
      <diagonal/>
    </border>
    <border>
      <left style="medium">
        <color rgb="FF8C8279"/>
      </left>
      <right/>
      <top style="medium">
        <color rgb="FF8C8279"/>
      </top>
      <bottom style="medium">
        <color rgb="FF8C8279"/>
      </bottom>
      <diagonal/>
    </border>
    <border>
      <left/>
      <right/>
      <top style="medium">
        <color rgb="FF8C8279"/>
      </top>
      <bottom style="medium">
        <color rgb="FF8C8279"/>
      </bottom>
      <diagonal/>
    </border>
    <border>
      <left/>
      <right style="medium">
        <color rgb="FF8C8279"/>
      </right>
      <top style="medium">
        <color rgb="FF8C8279"/>
      </top>
      <bottom style="medium">
        <color rgb="FF8C8279"/>
      </bottom>
      <diagonal/>
    </border>
    <border>
      <left style="medium">
        <color rgb="FF8C8279"/>
      </left>
      <right style="medium">
        <color rgb="FF8C8279"/>
      </right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6" fontId="0" fillId="0" borderId="1" xfId="0" applyNumberFormat="1" applyBorder="1"/>
    <xf numFmtId="6" fontId="0" fillId="0" borderId="0" xfId="0" applyNumberFormat="1"/>
    <xf numFmtId="8" fontId="0" fillId="0" borderId="1" xfId="0" applyNumberFormat="1" applyBorder="1"/>
    <xf numFmtId="8" fontId="0" fillId="0" borderId="0" xfId="0" applyNumberFormat="1"/>
    <xf numFmtId="0" fontId="0" fillId="0" borderId="1" xfId="0" applyBorder="1" applyAlignment="1">
      <alignment horizontal="center" wrapText="1"/>
    </xf>
    <xf numFmtId="0" fontId="5" fillId="2" borderId="0" xfId="0" applyFont="1" applyFill="1"/>
    <xf numFmtId="0" fontId="0" fillId="2" borderId="0" xfId="0" applyFill="1"/>
    <xf numFmtId="0" fontId="1" fillId="0" borderId="0" xfId="0" applyFont="1"/>
    <xf numFmtId="0" fontId="0" fillId="0" borderId="2" xfId="0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3" xfId="0" applyFont="1" applyBorder="1"/>
    <xf numFmtId="0" fontId="8" fillId="0" borderId="0" xfId="0" applyFont="1"/>
    <xf numFmtId="0" fontId="1" fillId="0" borderId="1" xfId="0" applyFont="1" applyBorder="1"/>
    <xf numFmtId="0" fontId="0" fillId="0" borderId="18" xfId="0" applyBorder="1"/>
    <xf numFmtId="0" fontId="2" fillId="3" borderId="0" xfId="0" applyFont="1" applyFill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6" fontId="0" fillId="3" borderId="6" xfId="0" applyNumberFormat="1" applyFill="1" applyBorder="1" applyAlignment="1">
      <alignment horizontal="center"/>
    </xf>
    <xf numFmtId="9" fontId="0" fillId="3" borderId="6" xfId="2" applyFont="1" applyFill="1" applyBorder="1" applyAlignment="1">
      <alignment horizontal="center"/>
    </xf>
    <xf numFmtId="6" fontId="0" fillId="4" borderId="6" xfId="0" applyNumberFormat="1" applyFill="1" applyBorder="1" applyAlignment="1">
      <alignment horizontal="center"/>
    </xf>
    <xf numFmtId="6" fontId="1" fillId="4" borderId="6" xfId="0" applyNumberFormat="1" applyFont="1" applyFill="1" applyBorder="1" applyAlignment="1">
      <alignment horizontal="center"/>
    </xf>
    <xf numFmtId="1" fontId="0" fillId="4" borderId="17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6" fontId="2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Per cent" xfId="2" builtinId="5"/>
  </cellStyles>
  <dxfs count="0"/>
  <tableStyles count="0" defaultTableStyle="TableStyleMedium2" defaultPivotStyle="PivotStyleLight16"/>
  <colors>
    <mruColors>
      <color rgb="FFE7DDE3"/>
      <color rgb="FFE1D5DC"/>
      <color rgb="FFC6B0BC"/>
      <color rgb="FFE3E0DD"/>
      <color rgb="FFD3CFCB"/>
      <color rgb="FFB0A9A2"/>
      <color rgb="FF8C8279"/>
      <color rgb="FF4B384C"/>
      <color rgb="FF4FA2B7"/>
      <color rgb="FF003D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$G$10" fmlaRange="Inputs!$C$81:$C$86" noThreeD="1" sel="4" val="0"/>
</file>

<file path=xl/ctrlProps/ctrlProp10.xml><?xml version="1.0" encoding="utf-8"?>
<formControlPr xmlns="http://schemas.microsoft.com/office/spreadsheetml/2009/9/main" objectType="Drop" dropLines="6" dropStyle="combo" dx="16" fmlaLink="$M$55" fmlaRange="$C$88:$C$93" noThreeD="1" sel="5" val="0"/>
</file>

<file path=xl/ctrlProps/ctrlProp11.xml><?xml version="1.0" encoding="utf-8"?>
<formControlPr xmlns="http://schemas.microsoft.com/office/spreadsheetml/2009/9/main" objectType="Drop" dropLines="6" dropStyle="combo" dx="16" fmlaLink="$N$55" fmlaRange="$C$88:$C$93" noThreeD="1" sel="6" val="0"/>
</file>

<file path=xl/ctrlProps/ctrlProp12.xml><?xml version="1.0" encoding="utf-8"?>
<formControlPr xmlns="http://schemas.microsoft.com/office/spreadsheetml/2009/9/main" objectType="Drop" dropLines="6" dropStyle="combo" dx="16" fmlaLink="$M$39" fmlaRange="$C$88:$C$93" noThreeD="1" sel="5" val="0"/>
</file>

<file path=xl/ctrlProps/ctrlProp13.xml><?xml version="1.0" encoding="utf-8"?>
<formControlPr xmlns="http://schemas.microsoft.com/office/spreadsheetml/2009/9/main" objectType="Drop" dropLines="6" dropStyle="combo" dx="16" fmlaLink="$N$39" fmlaRange="$C$88:$C$93" noThreeD="1" sel="6" val="0"/>
</file>

<file path=xl/ctrlProps/ctrlProp14.xml><?xml version="1.0" encoding="utf-8"?>
<formControlPr xmlns="http://schemas.microsoft.com/office/spreadsheetml/2009/9/main" objectType="Drop" dropLines="6" dropStyle="combo" dx="16" fmlaLink="$M$41" fmlaRange="$C$88:$C$93" noThreeD="1" sel="6" val="0"/>
</file>

<file path=xl/ctrlProps/ctrlProp15.xml><?xml version="1.0" encoding="utf-8"?>
<formControlPr xmlns="http://schemas.microsoft.com/office/spreadsheetml/2009/9/main" objectType="Drop" dropLines="6" dropStyle="combo" dx="16" fmlaLink="$N$41" fmlaRange="$C$88:$C$93" noThreeD="1" sel="6" val="0"/>
</file>

<file path=xl/ctrlProps/ctrlProp16.xml><?xml version="1.0" encoding="utf-8"?>
<formControlPr xmlns="http://schemas.microsoft.com/office/spreadsheetml/2009/9/main" objectType="Drop" dropLines="6" dropStyle="combo" dx="16" fmlaLink="$M$51" fmlaRange="$C$88:$C$93" noThreeD="1" sel="5" val="0"/>
</file>

<file path=xl/ctrlProps/ctrlProp17.xml><?xml version="1.0" encoding="utf-8"?>
<formControlPr xmlns="http://schemas.microsoft.com/office/spreadsheetml/2009/9/main" objectType="Drop" dropLines="6" dropStyle="combo" dx="16" fmlaLink="$N$51" fmlaRange="$C$88:$C$93" noThreeD="1" sel="6" val="0"/>
</file>

<file path=xl/ctrlProps/ctrlProp18.xml><?xml version="1.0" encoding="utf-8"?>
<formControlPr xmlns="http://schemas.microsoft.com/office/spreadsheetml/2009/9/main" objectType="Drop" dropStyle="combo" dx="16" fmlaLink="$F$33" fmlaRange="Inputs!$C$82:$C$86" noThreeD="1" sel="5" val="0"/>
</file>

<file path=xl/ctrlProps/ctrlProp19.xml><?xml version="1.0" encoding="utf-8"?>
<formControlPr xmlns="http://schemas.microsoft.com/office/spreadsheetml/2009/9/main" objectType="Drop" dropLines="6" dropStyle="combo" dx="16" fmlaLink="$M$53" fmlaRange="$C$88:$C$93" noThreeD="1" sel="5" val="0"/>
</file>

<file path=xl/ctrlProps/ctrlProp2.xml><?xml version="1.0" encoding="utf-8"?>
<formControlPr xmlns="http://schemas.microsoft.com/office/spreadsheetml/2009/9/main" objectType="Drop" dropLines="6" dropStyle="combo" dx="16" fmlaLink="$M$43" fmlaRange="$C$88:$C$93" noThreeD="1" sel="6" val="0"/>
</file>

<file path=xl/ctrlProps/ctrlProp20.xml><?xml version="1.0" encoding="utf-8"?>
<formControlPr xmlns="http://schemas.microsoft.com/office/spreadsheetml/2009/9/main" objectType="Drop" dropLines="6" dropStyle="combo" dx="16" fmlaLink="$N$53" fmlaRange="$C$88:$C$93" noThreeD="1" sel="6" val="0"/>
</file>

<file path=xl/ctrlProps/ctrlProp3.xml><?xml version="1.0" encoding="utf-8"?>
<formControlPr xmlns="http://schemas.microsoft.com/office/spreadsheetml/2009/9/main" objectType="Drop" dropLines="6" dropStyle="combo" dx="16" fmlaLink="$N$43" fmlaRange="$C$88:$C$93" noThreeD="1" sel="6" val="0"/>
</file>

<file path=xl/ctrlProps/ctrlProp4.xml><?xml version="1.0" encoding="utf-8"?>
<formControlPr xmlns="http://schemas.microsoft.com/office/spreadsheetml/2009/9/main" objectType="Drop" dropLines="6" dropStyle="combo" dx="16" fmlaLink="$M$45" fmlaRange="$C$88:$C$93" noThreeD="1" sel="5" val="0"/>
</file>

<file path=xl/ctrlProps/ctrlProp5.xml><?xml version="1.0" encoding="utf-8"?>
<formControlPr xmlns="http://schemas.microsoft.com/office/spreadsheetml/2009/9/main" objectType="Drop" dropLines="6" dropStyle="combo" dx="16" fmlaLink="$N$45" fmlaRange="$C$88:$C$93" noThreeD="1" sel="6" val="0"/>
</file>

<file path=xl/ctrlProps/ctrlProp6.xml><?xml version="1.0" encoding="utf-8"?>
<formControlPr xmlns="http://schemas.microsoft.com/office/spreadsheetml/2009/9/main" objectType="Drop" dropLines="6" dropStyle="combo" dx="16" fmlaLink="$M$47" fmlaRange="$C$88:$C$93" noThreeD="1" sel="5" val="0"/>
</file>

<file path=xl/ctrlProps/ctrlProp7.xml><?xml version="1.0" encoding="utf-8"?>
<formControlPr xmlns="http://schemas.microsoft.com/office/spreadsheetml/2009/9/main" objectType="Drop" dropLines="6" dropStyle="combo" dx="16" fmlaLink="$N$47" fmlaRange="$C$88:$C$93" noThreeD="1" sel="6" val="0"/>
</file>

<file path=xl/ctrlProps/ctrlProp8.xml><?xml version="1.0" encoding="utf-8"?>
<formControlPr xmlns="http://schemas.microsoft.com/office/spreadsheetml/2009/9/main" objectType="Drop" dropLines="6" dropStyle="combo" dx="16" fmlaLink="$M$49" fmlaRange="$C$88:$C$93" noThreeD="1" sel="1" val="0"/>
</file>

<file path=xl/ctrlProps/ctrlProp9.xml><?xml version="1.0" encoding="utf-8"?>
<formControlPr xmlns="http://schemas.microsoft.com/office/spreadsheetml/2009/9/main" objectType="Drop" dropLines="6" dropStyle="combo" dx="16" fmlaLink="$N$49" fmlaRange="$C$88:$C$93" noThreeD="1" sel="6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857250</xdr:colOff>
          <xdr:row>9</xdr:row>
          <xdr:rowOff>19050</xdr:rowOff>
        </xdr:from>
        <xdr:to>
          <xdr:col>5</xdr:col>
          <xdr:colOff>857250</xdr:colOff>
          <xdr:row>10</xdr:row>
          <xdr:rowOff>28575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19050</xdr:rowOff>
        </xdr:from>
        <xdr:to>
          <xdr:col>9</xdr:col>
          <xdr:colOff>104775</xdr:colOff>
          <xdr:row>43</xdr:row>
          <xdr:rowOff>19050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19050</xdr:rowOff>
        </xdr:from>
        <xdr:to>
          <xdr:col>11</xdr:col>
          <xdr:colOff>104775</xdr:colOff>
          <xdr:row>43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19050</xdr:rowOff>
        </xdr:from>
        <xdr:to>
          <xdr:col>9</xdr:col>
          <xdr:colOff>104775</xdr:colOff>
          <xdr:row>45</xdr:row>
          <xdr:rowOff>19050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19050</xdr:rowOff>
        </xdr:from>
        <xdr:to>
          <xdr:col>11</xdr:col>
          <xdr:colOff>104775</xdr:colOff>
          <xdr:row>45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46</xdr:row>
          <xdr:rowOff>19050</xdr:rowOff>
        </xdr:from>
        <xdr:to>
          <xdr:col>9</xdr:col>
          <xdr:colOff>104775</xdr:colOff>
          <xdr:row>47</xdr:row>
          <xdr:rowOff>19050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0</xdr:rowOff>
        </xdr:from>
        <xdr:to>
          <xdr:col>11</xdr:col>
          <xdr:colOff>104775</xdr:colOff>
          <xdr:row>47</xdr:row>
          <xdr:rowOff>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19050</xdr:rowOff>
        </xdr:from>
        <xdr:to>
          <xdr:col>9</xdr:col>
          <xdr:colOff>104775</xdr:colOff>
          <xdr:row>49</xdr:row>
          <xdr:rowOff>19050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19050</xdr:rowOff>
        </xdr:from>
        <xdr:to>
          <xdr:col>11</xdr:col>
          <xdr:colOff>104775</xdr:colOff>
          <xdr:row>49</xdr:row>
          <xdr:rowOff>19050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19050</xdr:rowOff>
        </xdr:from>
        <xdr:to>
          <xdr:col>9</xdr:col>
          <xdr:colOff>104775</xdr:colOff>
          <xdr:row>55</xdr:row>
          <xdr:rowOff>19050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54</xdr:row>
          <xdr:rowOff>19050</xdr:rowOff>
        </xdr:from>
        <xdr:to>
          <xdr:col>11</xdr:col>
          <xdr:colOff>104775</xdr:colOff>
          <xdr:row>55</xdr:row>
          <xdr:rowOff>19050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19050</xdr:rowOff>
        </xdr:from>
        <xdr:to>
          <xdr:col>9</xdr:col>
          <xdr:colOff>104775</xdr:colOff>
          <xdr:row>39</xdr:row>
          <xdr:rowOff>19050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38</xdr:row>
          <xdr:rowOff>19050</xdr:rowOff>
        </xdr:from>
        <xdr:to>
          <xdr:col>11</xdr:col>
          <xdr:colOff>104775</xdr:colOff>
          <xdr:row>39</xdr:row>
          <xdr:rowOff>19050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19050</xdr:rowOff>
        </xdr:from>
        <xdr:to>
          <xdr:col>9</xdr:col>
          <xdr:colOff>104775</xdr:colOff>
          <xdr:row>41</xdr:row>
          <xdr:rowOff>19050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19050</xdr:rowOff>
        </xdr:from>
        <xdr:to>
          <xdr:col>11</xdr:col>
          <xdr:colOff>104775</xdr:colOff>
          <xdr:row>41</xdr:row>
          <xdr:rowOff>19050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19050</xdr:rowOff>
        </xdr:from>
        <xdr:to>
          <xdr:col>9</xdr:col>
          <xdr:colOff>104775</xdr:colOff>
          <xdr:row>51</xdr:row>
          <xdr:rowOff>19050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50</xdr:row>
          <xdr:rowOff>19050</xdr:rowOff>
        </xdr:from>
        <xdr:to>
          <xdr:col>11</xdr:col>
          <xdr:colOff>104775</xdr:colOff>
          <xdr:row>51</xdr:row>
          <xdr:rowOff>19050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2000250</xdr:colOff>
          <xdr:row>32</xdr:row>
          <xdr:rowOff>0</xdr:rowOff>
        </xdr:from>
        <xdr:to>
          <xdr:col>3</xdr:col>
          <xdr:colOff>781050</xdr:colOff>
          <xdr:row>33</xdr:row>
          <xdr:rowOff>0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19050</xdr:rowOff>
        </xdr:from>
        <xdr:to>
          <xdr:col>9</xdr:col>
          <xdr:colOff>104775</xdr:colOff>
          <xdr:row>53</xdr:row>
          <xdr:rowOff>0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19050</xdr:rowOff>
        </xdr:from>
        <xdr:to>
          <xdr:col>11</xdr:col>
          <xdr:colOff>104775</xdr:colOff>
          <xdr:row>53</xdr:row>
          <xdr:rowOff>0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180975</xdr:colOff>
      <xdr:row>5</xdr:row>
      <xdr:rowOff>266700</xdr:rowOff>
    </xdr:from>
    <xdr:to>
      <xdr:col>14</xdr:col>
      <xdr:colOff>619125</xdr:colOff>
      <xdr:row>9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944225" y="1876425"/>
          <a:ext cx="3905250" cy="685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 b="0"/>
            <a:t>Highlighted cells </a:t>
          </a:r>
          <a:r>
            <a:rPr lang="en-GB" sz="1600" b="0" baseline="0"/>
            <a:t>should not be ammended manually</a:t>
          </a:r>
          <a:endParaRPr lang="en-GB" sz="16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mjlmc3\AppData\Local\Microsoft\Windows\INetCache\Content.Outlook\92FU9I7E\Descriptive%20statistics%20homehealth%20health%20economi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ility"/>
      <sheetName val="Capability"/>
      <sheetName val="Resource use CSRI"/>
      <sheetName val="Patient files"/>
      <sheetName val="Cost of intervention"/>
      <sheetName val="Cost of inpatient stays"/>
      <sheetName val="Cost of day cases"/>
    </sheetNames>
    <sheetDataSet>
      <sheetData sheetId="0"/>
      <sheetData sheetId="1"/>
      <sheetData sheetId="2">
        <row r="4">
          <cell r="E4">
            <v>26</v>
          </cell>
          <cell r="F4">
            <v>25</v>
          </cell>
          <cell r="H4">
            <v>25</v>
          </cell>
          <cell r="I4">
            <v>23</v>
          </cell>
          <cell r="K4">
            <v>25</v>
          </cell>
          <cell r="L4">
            <v>23</v>
          </cell>
        </row>
      </sheetData>
      <sheetData sheetId="3">
        <row r="5">
          <cell r="E5">
            <v>25</v>
          </cell>
          <cell r="F5">
            <v>24</v>
          </cell>
        </row>
      </sheetData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11"/>
  <sheetViews>
    <sheetView showGridLines="0" tabSelected="1" topLeftCell="C11" zoomScaleNormal="100" workbookViewId="0">
      <selection activeCell="K35" sqref="K35"/>
    </sheetView>
  </sheetViews>
  <sheetFormatPr defaultRowHeight="15" x14ac:dyDescent="0.25"/>
  <cols>
    <col min="1" max="1" width="23.42578125" style="8" customWidth="1"/>
    <col min="2" max="2" width="19.5703125" customWidth="1"/>
    <col min="3" max="3" width="31.140625" customWidth="1"/>
    <col min="4" max="4" width="12.7109375" customWidth="1"/>
    <col min="5" max="5" width="14.7109375" customWidth="1"/>
    <col min="6" max="6" width="13.5703125" customWidth="1"/>
    <col min="7" max="7" width="11.7109375" customWidth="1"/>
    <col min="8" max="8" width="13.5703125" customWidth="1"/>
    <col min="9" max="9" width="14.7109375" customWidth="1"/>
    <col min="11" max="11" width="14.7109375" customWidth="1"/>
    <col min="15" max="15" width="24" bestFit="1" customWidth="1"/>
    <col min="16" max="16" width="16.5703125" bestFit="1" customWidth="1"/>
    <col min="18" max="18" width="10.7109375" bestFit="1" customWidth="1"/>
  </cols>
  <sheetData>
    <row r="1" spans="3:19" s="7" customFormat="1" ht="58.5" customHeight="1" x14ac:dyDescent="0.25"/>
    <row r="3" spans="3:19" ht="15.75" thickBot="1" x14ac:dyDescent="0.3"/>
    <row r="4" spans="3:19" ht="24" customHeight="1" thickBot="1" x14ac:dyDescent="0.3">
      <c r="C4" s="42" t="s">
        <v>40</v>
      </c>
      <c r="D4" s="43"/>
      <c r="E4" s="43"/>
      <c r="F4" s="43"/>
      <c r="G4" s="43"/>
      <c r="H4" s="43"/>
      <c r="I4" s="43"/>
      <c r="J4" s="43"/>
      <c r="K4" s="43"/>
      <c r="L4" s="44"/>
    </row>
    <row r="5" spans="3:19" ht="15.75" thickBot="1" x14ac:dyDescent="0.3"/>
    <row r="6" spans="3:19" ht="22.5" customHeight="1" thickBot="1" x14ac:dyDescent="0.3">
      <c r="C6" s="36" t="s">
        <v>11</v>
      </c>
      <c r="D6" s="37"/>
      <c r="E6" s="38"/>
    </row>
    <row r="7" spans="3:19" x14ac:dyDescent="0.25">
      <c r="G7" s="11"/>
      <c r="H7" s="11"/>
      <c r="I7" s="11"/>
    </row>
    <row r="8" spans="3:19" x14ac:dyDescent="0.25">
      <c r="C8" s="9" t="s">
        <v>17</v>
      </c>
      <c r="G8" s="11"/>
      <c r="H8" s="11"/>
      <c r="I8" s="11"/>
      <c r="J8" s="23"/>
      <c r="K8" s="23"/>
    </row>
    <row r="9" spans="3:19" ht="15" customHeight="1" x14ac:dyDescent="0.25">
      <c r="G9" s="11"/>
      <c r="H9" s="11" t="s">
        <v>34</v>
      </c>
      <c r="I9" s="11"/>
      <c r="J9" s="23"/>
      <c r="K9" s="23"/>
    </row>
    <row r="10" spans="3:19" x14ac:dyDescent="0.25">
      <c r="C10" s="8" t="s">
        <v>78</v>
      </c>
      <c r="D10" s="8"/>
      <c r="G10" s="11">
        <v>4</v>
      </c>
      <c r="H10" s="11">
        <f>VLOOKUP(Inputs!G10,Inputs!B81:D86,3)</f>
        <v>42</v>
      </c>
      <c r="I10" s="11"/>
      <c r="J10" s="23"/>
      <c r="K10" s="23"/>
    </row>
    <row r="11" spans="3:19" ht="15.75" thickBot="1" x14ac:dyDescent="0.3">
      <c r="G11" s="11"/>
      <c r="H11" s="11"/>
      <c r="I11" s="11"/>
      <c r="J11" s="23"/>
      <c r="K11" s="23"/>
    </row>
    <row r="12" spans="3:19" ht="15.75" thickBot="1" x14ac:dyDescent="0.3">
      <c r="C12" s="8" t="s">
        <v>16</v>
      </c>
      <c r="D12" s="8"/>
      <c r="E12" s="27">
        <v>2</v>
      </c>
    </row>
    <row r="13" spans="3:19" ht="15.75" thickBot="1" x14ac:dyDescent="0.3">
      <c r="G13" s="14"/>
      <c r="H13" s="15"/>
      <c r="I13" s="15"/>
      <c r="J13" s="15"/>
      <c r="K13" s="15"/>
      <c r="L13" s="16"/>
      <c r="N13" s="14"/>
      <c r="O13" s="15"/>
      <c r="P13" s="15"/>
      <c r="Q13" s="15"/>
      <c r="R13" s="15"/>
      <c r="S13" s="16"/>
    </row>
    <row r="14" spans="3:19" ht="15.75" thickBot="1" x14ac:dyDescent="0.3">
      <c r="C14" s="8" t="s">
        <v>61</v>
      </c>
      <c r="D14" s="8"/>
      <c r="E14" s="27">
        <v>120</v>
      </c>
      <c r="G14" s="17"/>
      <c r="H14" s="39" t="s">
        <v>59</v>
      </c>
      <c r="I14" s="40"/>
      <c r="J14" s="40"/>
      <c r="K14" s="41"/>
      <c r="L14" s="18"/>
      <c r="N14" s="17"/>
      <c r="O14" s="39" t="s">
        <v>58</v>
      </c>
      <c r="P14" s="40"/>
      <c r="Q14" s="40"/>
      <c r="R14" s="41"/>
      <c r="S14" s="18"/>
    </row>
    <row r="15" spans="3:19" ht="15.75" thickBot="1" x14ac:dyDescent="0.3">
      <c r="G15" s="17"/>
      <c r="L15" s="18"/>
      <c r="N15" s="17"/>
      <c r="S15" s="18"/>
    </row>
    <row r="16" spans="3:19" ht="15.75" thickBot="1" x14ac:dyDescent="0.3">
      <c r="C16" s="8" t="s">
        <v>79</v>
      </c>
      <c r="D16" s="8"/>
      <c r="E16" s="28">
        <v>1177.78</v>
      </c>
      <c r="G16" s="17"/>
      <c r="I16" s="12" t="s">
        <v>39</v>
      </c>
      <c r="J16" s="13"/>
      <c r="K16" s="12" t="s">
        <v>38</v>
      </c>
      <c r="L16" s="18"/>
      <c r="N16" s="17"/>
      <c r="O16" t="s">
        <v>77</v>
      </c>
      <c r="Q16" s="13" t="s">
        <v>53</v>
      </c>
      <c r="R16" s="13" t="s">
        <v>60</v>
      </c>
      <c r="S16" s="18"/>
    </row>
    <row r="17" spans="3:21" ht="15.75" thickBot="1" x14ac:dyDescent="0.3">
      <c r="G17" s="17"/>
      <c r="L17" s="18"/>
      <c r="N17" s="17"/>
      <c r="O17" s="29">
        <v>29803.486666666664</v>
      </c>
      <c r="Q17" s="30">
        <v>1</v>
      </c>
      <c r="R17" s="33">
        <f>caseload</f>
        <v>120</v>
      </c>
      <c r="S17" s="18"/>
    </row>
    <row r="18" spans="3:21" ht="15.75" thickBot="1" x14ac:dyDescent="0.3">
      <c r="C18" s="8" t="s">
        <v>80</v>
      </c>
      <c r="D18" s="8"/>
      <c r="E18" s="28">
        <v>1000</v>
      </c>
      <c r="G18" s="17"/>
      <c r="H18" t="s">
        <v>0</v>
      </c>
      <c r="I18" s="31">
        <f>Outputs!D29+Outputs!E29</f>
        <v>1617.5</v>
      </c>
      <c r="J18" s="13"/>
      <c r="K18" s="31">
        <f>Outputs!D31+Outputs!E31</f>
        <v>13.479166666666668</v>
      </c>
      <c r="L18" s="18"/>
      <c r="N18" s="17"/>
      <c r="S18" s="18"/>
    </row>
    <row r="19" spans="3:21" ht="15.75" thickBot="1" x14ac:dyDescent="0.3">
      <c r="G19" s="17"/>
      <c r="I19" s="13"/>
      <c r="J19" s="13"/>
      <c r="K19" s="13"/>
      <c r="L19" s="18"/>
      <c r="N19" s="17"/>
      <c r="P19" s="12" t="s">
        <v>39</v>
      </c>
      <c r="Q19" s="13"/>
      <c r="R19" s="12" t="s">
        <v>38</v>
      </c>
      <c r="S19" s="18"/>
    </row>
    <row r="20" spans="3:21" ht="15.75" thickBot="1" x14ac:dyDescent="0.3">
      <c r="C20" s="8" t="s">
        <v>24</v>
      </c>
      <c r="D20" s="8"/>
      <c r="E20" s="27">
        <v>1</v>
      </c>
      <c r="G20" s="17"/>
      <c r="H20" t="s">
        <v>18</v>
      </c>
      <c r="I20" s="31">
        <f>Outputs!E34</f>
        <v>2037</v>
      </c>
      <c r="J20" s="13"/>
      <c r="K20" s="31">
        <f>Outputs!E35</f>
        <v>16.975000000000001</v>
      </c>
      <c r="L20" s="18"/>
      <c r="N20" s="17"/>
      <c r="S20" s="18"/>
    </row>
    <row r="21" spans="3:21" ht="15.75" thickBot="1" x14ac:dyDescent="0.3">
      <c r="G21" s="17"/>
      <c r="I21" s="13"/>
      <c r="J21" s="13"/>
      <c r="K21" s="13"/>
      <c r="L21" s="18"/>
      <c r="N21" s="17"/>
      <c r="O21" t="s">
        <v>57</v>
      </c>
      <c r="P21" s="31">
        <f>O17*Q17</f>
        <v>29803.486666666664</v>
      </c>
      <c r="Q21" s="13"/>
      <c r="R21" s="31">
        <f>O17/caseload</f>
        <v>248.36238888888886</v>
      </c>
      <c r="S21" s="18"/>
    </row>
    <row r="22" spans="3:21" ht="15.75" thickBot="1" x14ac:dyDescent="0.3">
      <c r="C22" s="9" t="s">
        <v>0</v>
      </c>
      <c r="G22" s="17"/>
      <c r="H22" t="s">
        <v>8</v>
      </c>
      <c r="I22" s="31">
        <f>(Outputs!E42+Outputs!E41+Outputs!F37)*caseload</f>
        <v>48720</v>
      </c>
      <c r="J22" s="13"/>
      <c r="K22" s="31">
        <f>Outputs!E42+Outputs!E41+Outputs!F37</f>
        <v>406</v>
      </c>
      <c r="L22" s="18"/>
      <c r="N22" s="17"/>
      <c r="P22" s="13"/>
      <c r="Q22" s="13"/>
      <c r="R22" s="13"/>
      <c r="S22" s="18"/>
    </row>
    <row r="23" spans="3:21" ht="18" thickBot="1" x14ac:dyDescent="0.3">
      <c r="C23" t="s">
        <v>32</v>
      </c>
      <c r="G23" s="17"/>
      <c r="I23" s="13"/>
      <c r="J23" s="13"/>
      <c r="K23" s="13"/>
      <c r="L23" s="18"/>
      <c r="N23" s="17"/>
      <c r="O23" t="s">
        <v>63</v>
      </c>
      <c r="P23" s="31">
        <f>E16+E18</f>
        <v>2177.7799999999997</v>
      </c>
      <c r="Q23" s="13"/>
      <c r="R23" s="31">
        <f>P23/(caseload*Q17)</f>
        <v>18.148166666666665</v>
      </c>
      <c r="S23" s="18"/>
    </row>
    <row r="24" spans="3:21" ht="15.75" thickBot="1" x14ac:dyDescent="0.3">
      <c r="G24" s="17"/>
      <c r="H24" t="s">
        <v>62</v>
      </c>
      <c r="I24" s="31">
        <f>E16+E18</f>
        <v>2177.7799999999997</v>
      </c>
      <c r="K24" s="31">
        <f>I24/caseload</f>
        <v>18.148166666666665</v>
      </c>
      <c r="L24" s="25"/>
      <c r="N24" s="17"/>
      <c r="S24" s="18"/>
    </row>
    <row r="25" spans="3:21" ht="15.75" thickBot="1" x14ac:dyDescent="0.3">
      <c r="C25" s="8" t="s">
        <v>81</v>
      </c>
      <c r="D25" s="8"/>
      <c r="E25" s="27">
        <v>93</v>
      </c>
      <c r="F25" s="18"/>
      <c r="M25" s="17"/>
      <c r="N25" s="17"/>
      <c r="O25" t="s">
        <v>65</v>
      </c>
      <c r="P25" s="31">
        <f>Outputs!D29</f>
        <v>651.5</v>
      </c>
      <c r="Q25" s="13"/>
      <c r="R25" s="31">
        <f>P25/(caseload*Q17)</f>
        <v>5.4291666666666663</v>
      </c>
      <c r="S25" s="18"/>
    </row>
    <row r="26" spans="3:21" ht="15.75" thickBot="1" x14ac:dyDescent="0.3">
      <c r="G26" s="17"/>
      <c r="H26" s="9" t="s">
        <v>5</v>
      </c>
      <c r="I26" s="32">
        <f>I22+I20+I18+I24</f>
        <v>54552.28</v>
      </c>
      <c r="J26" s="12"/>
      <c r="K26" s="32">
        <f>K22+K20+K18+K24</f>
        <v>454.60233333333338</v>
      </c>
      <c r="L26" s="18"/>
      <c r="N26" s="17"/>
      <c r="P26" s="13"/>
      <c r="Q26" s="13"/>
      <c r="R26" s="13"/>
      <c r="S26" s="18"/>
    </row>
    <row r="27" spans="3:21" ht="15.75" thickBot="1" x14ac:dyDescent="0.3">
      <c r="C27" s="8" t="s">
        <v>82</v>
      </c>
      <c r="D27" s="8"/>
      <c r="E27" s="27">
        <v>68</v>
      </c>
      <c r="G27" s="19"/>
      <c r="H27" s="20"/>
      <c r="I27" s="22"/>
      <c r="J27" s="22"/>
      <c r="K27" s="22"/>
      <c r="L27" s="21"/>
      <c r="N27" s="17"/>
      <c r="O27" t="s">
        <v>66</v>
      </c>
      <c r="P27" s="31">
        <f>super_time*super_wage/num_staff_sup</f>
        <v>1155</v>
      </c>
      <c r="R27" s="31">
        <f>P27/(caseload*0.6)</f>
        <v>16.041666666666668</v>
      </c>
      <c r="S27" s="18"/>
    </row>
    <row r="28" spans="3:21" ht="15.75" thickBot="1" x14ac:dyDescent="0.3">
      <c r="G28" t="s">
        <v>64</v>
      </c>
      <c r="N28" s="17"/>
      <c r="S28" s="18"/>
    </row>
    <row r="29" spans="3:21" ht="15.75" thickBot="1" x14ac:dyDescent="0.3">
      <c r="C29" s="8" t="s">
        <v>83</v>
      </c>
      <c r="D29" s="8"/>
      <c r="E29" s="27">
        <v>68</v>
      </c>
      <c r="F29" s="23"/>
      <c r="G29" s="23"/>
      <c r="H29" s="23"/>
      <c r="N29" s="17"/>
      <c r="O29" t="s">
        <v>7</v>
      </c>
      <c r="P29" s="31">
        <f>consumables*(caseload*Q17)</f>
        <v>840</v>
      </c>
      <c r="R29" s="31">
        <f>consumables</f>
        <v>7</v>
      </c>
      <c r="S29" s="18"/>
    </row>
    <row r="30" spans="3:21" ht="15.75" thickBot="1" x14ac:dyDescent="0.3">
      <c r="H30" s="23"/>
      <c r="N30" s="17"/>
      <c r="S30" s="18"/>
    </row>
    <row r="31" spans="3:21" ht="15.75" thickBot="1" x14ac:dyDescent="0.3">
      <c r="C31" s="8" t="s">
        <v>84</v>
      </c>
      <c r="D31" s="8"/>
      <c r="E31" s="27">
        <v>350</v>
      </c>
      <c r="H31" s="23"/>
      <c r="L31" s="23"/>
      <c r="M31" s="23"/>
      <c r="N31" s="17"/>
      <c r="O31" s="9" t="s">
        <v>5</v>
      </c>
      <c r="P31" s="32">
        <f>O17*Q17+P23+P25+P27</f>
        <v>33787.766666666663</v>
      </c>
      <c r="Q31" s="12"/>
      <c r="R31" s="32">
        <f>SUM(R21,R23,R25,R27,R29)</f>
        <v>294.98138888888889</v>
      </c>
      <c r="S31" s="18"/>
      <c r="T31" s="23"/>
      <c r="U31" s="23"/>
    </row>
    <row r="32" spans="3:21" ht="15.75" thickBot="1" x14ac:dyDescent="0.3">
      <c r="F32" s="11"/>
      <c r="G32" s="11"/>
      <c r="H32" s="11"/>
      <c r="L32" s="23"/>
      <c r="M32" s="23"/>
      <c r="N32" s="19"/>
      <c r="O32" s="20"/>
      <c r="P32" s="22"/>
      <c r="Q32" s="22"/>
      <c r="R32" s="22"/>
      <c r="S32" s="21"/>
      <c r="T32" s="23"/>
      <c r="U32" s="23"/>
    </row>
    <row r="33" spans="3:22" ht="15.75" thickBot="1" x14ac:dyDescent="0.3">
      <c r="C33" s="8" t="s">
        <v>85</v>
      </c>
      <c r="D33" s="8"/>
      <c r="E33" s="34">
        <f>G33</f>
        <v>66</v>
      </c>
      <c r="F33" s="11">
        <v>5</v>
      </c>
      <c r="G33" s="11">
        <f>IF(F33=1,Inputs!D82,IF(F33=2,Inputs!D83,IF(F33=3,Inputs!D84,IF(F33=4,Inputs!D85,IF(F33=5,Inputs!D86)))))</f>
        <v>66</v>
      </c>
      <c r="H33" s="11"/>
      <c r="L33" s="23"/>
      <c r="M33" s="23"/>
      <c r="N33" t="s">
        <v>67</v>
      </c>
      <c r="T33" s="23"/>
      <c r="U33" s="23"/>
    </row>
    <row r="34" spans="3:22" ht="15.75" thickBot="1" x14ac:dyDescent="0.3">
      <c r="F34" s="11"/>
      <c r="G34" s="11"/>
      <c r="H34" s="11"/>
      <c r="L34" s="23"/>
      <c r="M34" s="23"/>
      <c r="T34" s="23"/>
      <c r="U34" s="23"/>
    </row>
    <row r="35" spans="3:22" ht="15.75" thickBot="1" x14ac:dyDescent="0.3">
      <c r="C35" s="8" t="s">
        <v>86</v>
      </c>
      <c r="D35" s="8"/>
      <c r="E35" s="10">
        <v>100</v>
      </c>
      <c r="F35" s="11"/>
      <c r="G35" s="11"/>
      <c r="H35" s="11"/>
      <c r="L35" s="26"/>
      <c r="M35" s="26"/>
      <c r="T35" s="26"/>
      <c r="U35" s="26"/>
    </row>
    <row r="36" spans="3:22" x14ac:dyDescent="0.25">
      <c r="L36" s="26"/>
      <c r="M36" s="26"/>
      <c r="T36" s="26"/>
      <c r="U36" s="26"/>
      <c r="V36" s="23"/>
    </row>
    <row r="37" spans="3:22" x14ac:dyDescent="0.25">
      <c r="C37" s="9" t="s">
        <v>42</v>
      </c>
      <c r="G37" s="12" t="s">
        <v>31</v>
      </c>
      <c r="J37" s="9" t="s">
        <v>28</v>
      </c>
      <c r="L37" s="26"/>
      <c r="M37" s="26"/>
      <c r="T37" s="26"/>
      <c r="U37" s="26"/>
      <c r="V37" s="23"/>
    </row>
    <row r="38" spans="3:22" ht="15.75" thickBot="1" x14ac:dyDescent="0.3">
      <c r="I38" t="s">
        <v>29</v>
      </c>
      <c r="K38" t="s">
        <v>30</v>
      </c>
      <c r="L38" s="26"/>
      <c r="M38" s="26"/>
      <c r="N38" s="26"/>
      <c r="O38" s="26"/>
      <c r="P38" s="26" t="s">
        <v>33</v>
      </c>
      <c r="Q38" s="26"/>
      <c r="R38" s="26"/>
      <c r="S38" s="26"/>
      <c r="T38" s="26"/>
      <c r="U38" s="26"/>
      <c r="V38" s="23"/>
    </row>
    <row r="39" spans="3:22" ht="15.75" thickBot="1" x14ac:dyDescent="0.3">
      <c r="C39" s="8" t="s">
        <v>43</v>
      </c>
      <c r="D39" s="8"/>
      <c r="E39" s="10">
        <v>1.5</v>
      </c>
      <c r="F39" s="8"/>
      <c r="G39" s="10">
        <v>0.5</v>
      </c>
      <c r="H39" s="8"/>
      <c r="J39" s="8"/>
      <c r="L39" s="26"/>
      <c r="M39" s="26">
        <v>5</v>
      </c>
      <c r="N39" s="26">
        <v>6</v>
      </c>
      <c r="O39" s="26"/>
      <c r="P39" s="26">
        <f>VLOOKUP(M39,$B$88:$D$93,3)</f>
        <v>66</v>
      </c>
      <c r="Q39" s="26">
        <f>VLOOKUP(N39,$B$88:$D$93,3)</f>
        <v>0</v>
      </c>
      <c r="R39" s="26"/>
      <c r="S39" s="26"/>
      <c r="T39" s="26"/>
      <c r="U39" s="26"/>
      <c r="V39" s="23"/>
    </row>
    <row r="40" spans="3:22" ht="15.75" thickBot="1" x14ac:dyDescent="0.3"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3"/>
    </row>
    <row r="41" spans="3:22" ht="15.75" thickBot="1" x14ac:dyDescent="0.3">
      <c r="C41" s="8" t="s">
        <v>44</v>
      </c>
      <c r="D41" s="8"/>
      <c r="E41" s="10">
        <v>0</v>
      </c>
      <c r="F41" s="8"/>
      <c r="G41" s="10">
        <v>1.5</v>
      </c>
      <c r="H41" s="8"/>
      <c r="J41" s="8"/>
      <c r="L41" s="26"/>
      <c r="M41" s="26">
        <v>6</v>
      </c>
      <c r="N41" s="26">
        <v>6</v>
      </c>
      <c r="O41" s="26"/>
      <c r="P41" s="26">
        <f>VLOOKUP(M41,$B$88:$D$93,3)</f>
        <v>0</v>
      </c>
      <c r="Q41" s="26">
        <f>VLOOKUP(N41,$B$88:$D$93,3)</f>
        <v>0</v>
      </c>
      <c r="R41" s="26"/>
      <c r="S41" s="26"/>
      <c r="T41" s="26"/>
      <c r="U41" s="26"/>
      <c r="V41" s="23"/>
    </row>
    <row r="42" spans="3:22" ht="15.75" thickBot="1" x14ac:dyDescent="0.3"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3"/>
    </row>
    <row r="43" spans="3:22" ht="15.75" thickBot="1" x14ac:dyDescent="0.3">
      <c r="C43" s="8" t="s">
        <v>45</v>
      </c>
      <c r="D43" s="8"/>
      <c r="E43" s="10">
        <v>0</v>
      </c>
      <c r="F43" s="8"/>
      <c r="G43" s="10">
        <v>0.5</v>
      </c>
      <c r="H43" s="8"/>
      <c r="J43" s="8"/>
      <c r="L43" s="26"/>
      <c r="M43" s="26">
        <v>6</v>
      </c>
      <c r="N43" s="26">
        <v>6</v>
      </c>
      <c r="O43" s="26"/>
      <c r="P43" s="26">
        <f>VLOOKUP(M43,$B$88:$D$93,3)</f>
        <v>0</v>
      </c>
      <c r="Q43" s="26">
        <f>VLOOKUP(N43,$B$88:$D$93,3)</f>
        <v>0</v>
      </c>
      <c r="R43" s="26"/>
      <c r="S43" s="26"/>
      <c r="T43" s="26"/>
      <c r="U43" s="26"/>
      <c r="V43" s="23"/>
    </row>
    <row r="44" spans="3:22" ht="15.75" thickBot="1" x14ac:dyDescent="0.3"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3"/>
    </row>
    <row r="45" spans="3:22" ht="15.75" thickBot="1" x14ac:dyDescent="0.3">
      <c r="C45" s="8" t="s">
        <v>2</v>
      </c>
      <c r="D45" s="8"/>
      <c r="E45" s="10">
        <v>3.5</v>
      </c>
      <c r="F45" s="8"/>
      <c r="G45" s="10">
        <v>3.5</v>
      </c>
      <c r="H45" s="8"/>
      <c r="J45" s="8"/>
      <c r="L45" s="26"/>
      <c r="M45" s="26">
        <v>5</v>
      </c>
      <c r="N45" s="26">
        <v>6</v>
      </c>
      <c r="O45" s="26"/>
      <c r="P45" s="26">
        <f>VLOOKUP(M45,$B$88:$D$93,3)</f>
        <v>66</v>
      </c>
      <c r="Q45" s="26">
        <f>VLOOKUP(N45,$B$88:$D$93,3)</f>
        <v>0</v>
      </c>
      <c r="R45" s="26"/>
      <c r="S45" s="26"/>
      <c r="T45" s="26"/>
      <c r="U45" s="26"/>
      <c r="V45" s="23"/>
    </row>
    <row r="46" spans="3:22" ht="15.75" thickBot="1" x14ac:dyDescent="0.3"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3"/>
    </row>
    <row r="47" spans="3:22" ht="15.75" thickBot="1" x14ac:dyDescent="0.3">
      <c r="C47" s="8" t="s">
        <v>46</v>
      </c>
      <c r="D47" s="8"/>
      <c r="E47" s="10">
        <v>1.5</v>
      </c>
      <c r="F47" s="8"/>
      <c r="G47" s="10"/>
      <c r="H47" s="8"/>
      <c r="J47" s="8"/>
      <c r="L47" s="26"/>
      <c r="M47" s="26">
        <v>5</v>
      </c>
      <c r="N47" s="26">
        <v>6</v>
      </c>
      <c r="O47" s="26"/>
      <c r="P47" s="26">
        <f>VLOOKUP(M47,$B$88:$D$93,3)</f>
        <v>66</v>
      </c>
      <c r="Q47" s="26">
        <f>VLOOKUP(N47,$B$88:$D$93,3)</f>
        <v>0</v>
      </c>
      <c r="R47" s="26"/>
      <c r="S47" s="26"/>
      <c r="T47" s="26"/>
      <c r="U47" s="26"/>
      <c r="V47" s="23"/>
    </row>
    <row r="48" spans="3:22" ht="15.75" thickBot="1" x14ac:dyDescent="0.3"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3:21" ht="15.75" thickBot="1" x14ac:dyDescent="0.3">
      <c r="C49" s="8" t="s">
        <v>3</v>
      </c>
      <c r="D49" s="8"/>
      <c r="E49" s="10">
        <v>3</v>
      </c>
      <c r="F49" s="8"/>
      <c r="G49" s="10"/>
      <c r="H49" s="8"/>
      <c r="J49" s="8"/>
      <c r="L49" s="26"/>
      <c r="M49" s="26">
        <v>1</v>
      </c>
      <c r="N49" s="26">
        <v>6</v>
      </c>
      <c r="O49" s="26"/>
      <c r="P49" s="26">
        <f>VLOOKUP(M49,$B$88:$D$93,3)</f>
        <v>93</v>
      </c>
      <c r="Q49" s="26">
        <f>VLOOKUP(N49,$B$88:$D$93,3)</f>
        <v>0</v>
      </c>
      <c r="R49" s="26"/>
      <c r="S49" s="26"/>
      <c r="T49" s="26"/>
      <c r="U49" s="26"/>
    </row>
    <row r="50" spans="3:21" ht="15.75" thickBot="1" x14ac:dyDescent="0.3"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3:21" ht="15.75" thickBot="1" x14ac:dyDescent="0.3">
      <c r="C51" s="8" t="s">
        <v>47</v>
      </c>
      <c r="D51" s="8"/>
      <c r="E51" s="10">
        <v>3</v>
      </c>
      <c r="F51" s="8"/>
      <c r="G51" s="10"/>
      <c r="H51" s="8"/>
      <c r="J51" s="8"/>
      <c r="L51" s="26"/>
      <c r="M51" s="26">
        <v>5</v>
      </c>
      <c r="N51" s="26">
        <v>6</v>
      </c>
      <c r="O51" s="26"/>
      <c r="P51" s="26">
        <f>VLOOKUP(M51,$B$88:$D$93,3)</f>
        <v>66</v>
      </c>
      <c r="Q51" s="26">
        <f>VLOOKUP(N51,$B$88:$D$93,3)</f>
        <v>0</v>
      </c>
      <c r="R51" s="26"/>
      <c r="S51" s="26"/>
      <c r="T51" s="26"/>
      <c r="U51" s="26"/>
    </row>
    <row r="52" spans="3:21" ht="17.25" customHeight="1" thickBot="1" x14ac:dyDescent="0.3"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3:21" ht="17.25" customHeight="1" thickBot="1" x14ac:dyDescent="0.3">
      <c r="C53" s="8" t="s">
        <v>50</v>
      </c>
      <c r="D53" s="8"/>
      <c r="E53" s="10">
        <v>3</v>
      </c>
      <c r="F53" s="8"/>
      <c r="G53" s="10"/>
      <c r="H53" s="8"/>
      <c r="J53" s="8"/>
      <c r="L53" s="26"/>
      <c r="M53" s="26">
        <v>5</v>
      </c>
      <c r="N53" s="26">
        <v>6</v>
      </c>
      <c r="O53" s="26"/>
      <c r="P53" s="26">
        <f>VLOOKUP(M53,$B$88:$D$93,3)</f>
        <v>66</v>
      </c>
      <c r="Q53" s="26">
        <f>VLOOKUP(N53,$B$88:$D$93,3)</f>
        <v>0</v>
      </c>
      <c r="R53" s="26"/>
      <c r="S53" s="26"/>
      <c r="T53" s="26"/>
      <c r="U53" s="26"/>
    </row>
    <row r="54" spans="3:21" ht="15.75" thickBot="1" x14ac:dyDescent="0.3"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3:21" ht="15.75" thickBot="1" x14ac:dyDescent="0.3">
      <c r="C55" s="8" t="s">
        <v>49</v>
      </c>
      <c r="D55" s="8"/>
      <c r="E55" s="10">
        <v>1.5</v>
      </c>
      <c r="F55" s="8"/>
      <c r="G55" s="10"/>
      <c r="H55" s="8"/>
      <c r="J55" s="8"/>
      <c r="L55" s="26"/>
      <c r="M55" s="26">
        <v>5</v>
      </c>
      <c r="N55" s="26">
        <v>6</v>
      </c>
      <c r="O55" s="26"/>
      <c r="P55" s="26">
        <f>VLOOKUP(M55,$B$88:$D$93,3)</f>
        <v>66</v>
      </c>
      <c r="Q55" s="26">
        <f>VLOOKUP(N55,$B$88:$D$93,3)</f>
        <v>0</v>
      </c>
      <c r="R55" s="26"/>
      <c r="S55" s="26"/>
      <c r="T55" s="26"/>
      <c r="U55" s="26"/>
    </row>
    <row r="56" spans="3:21" x14ac:dyDescent="0.25"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3:21" x14ac:dyDescent="0.25"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3:21" x14ac:dyDescent="0.25">
      <c r="C58" s="9" t="s">
        <v>18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3:21" ht="15.75" thickBot="1" x14ac:dyDescent="0.3"/>
    <row r="60" spans="3:21" ht="15.75" thickBot="1" x14ac:dyDescent="0.3">
      <c r="C60" s="8" t="s">
        <v>87</v>
      </c>
      <c r="D60" s="8"/>
      <c r="E60" s="10">
        <v>55</v>
      </c>
    </row>
    <row r="61" spans="3:21" ht="15.75" thickBot="1" x14ac:dyDescent="0.3"/>
    <row r="62" spans="3:21" ht="15.75" thickBot="1" x14ac:dyDescent="0.3">
      <c r="C62" s="8" t="s">
        <v>19</v>
      </c>
      <c r="D62" s="8"/>
      <c r="E62" s="10">
        <v>21</v>
      </c>
    </row>
    <row r="63" spans="3:21" ht="15.75" thickBot="1" x14ac:dyDescent="0.3"/>
    <row r="64" spans="3:21" ht="15.75" thickBot="1" x14ac:dyDescent="0.3">
      <c r="C64" s="8" t="s">
        <v>55</v>
      </c>
      <c r="D64" s="8"/>
      <c r="E64" s="10">
        <v>1</v>
      </c>
    </row>
    <row r="66" spans="3:5" x14ac:dyDescent="0.25">
      <c r="C66" s="9" t="s">
        <v>51</v>
      </c>
    </row>
    <row r="67" spans="3:5" ht="15.75" thickBot="1" x14ac:dyDescent="0.3"/>
    <row r="68" spans="3:5" ht="15.75" thickBot="1" x14ac:dyDescent="0.3">
      <c r="C68" s="8" t="s">
        <v>20</v>
      </c>
      <c r="D68" s="8"/>
      <c r="E68" s="10">
        <v>360</v>
      </c>
    </row>
    <row r="69" spans="3:5" ht="15.75" thickBot="1" x14ac:dyDescent="0.3"/>
    <row r="70" spans="3:5" ht="15.75" thickBot="1" x14ac:dyDescent="0.3">
      <c r="C70" s="8" t="s">
        <v>22</v>
      </c>
      <c r="D70" s="8"/>
      <c r="E70" s="10">
        <v>210</v>
      </c>
    </row>
    <row r="71" spans="3:5" ht="15.75" thickBot="1" x14ac:dyDescent="0.3"/>
    <row r="72" spans="3:5" ht="15.75" thickBot="1" x14ac:dyDescent="0.3">
      <c r="C72" s="8" t="s">
        <v>88</v>
      </c>
      <c r="D72" s="8"/>
      <c r="E72" s="10">
        <v>7</v>
      </c>
    </row>
    <row r="75" spans="3:5" x14ac:dyDescent="0.25">
      <c r="C75" t="s">
        <v>15</v>
      </c>
    </row>
    <row r="77" spans="3:5" x14ac:dyDescent="0.25">
      <c r="C77" t="s">
        <v>41</v>
      </c>
    </row>
    <row r="79" spans="3:5" x14ac:dyDescent="0.25">
      <c r="C79" s="9" t="s">
        <v>73</v>
      </c>
    </row>
    <row r="80" spans="3:5" ht="15.75" thickBot="1" x14ac:dyDescent="0.3"/>
    <row r="81" spans="2:6" ht="15.75" thickBot="1" x14ac:dyDescent="0.3">
      <c r="B81" s="11">
        <v>1</v>
      </c>
      <c r="C81" s="8" t="s">
        <v>23</v>
      </c>
      <c r="D81" s="10">
        <v>23</v>
      </c>
    </row>
    <row r="82" spans="2:6" ht="15.75" thickBot="1" x14ac:dyDescent="0.3">
      <c r="B82" s="11">
        <v>2</v>
      </c>
      <c r="C82" s="8" t="s">
        <v>68</v>
      </c>
      <c r="D82" s="10">
        <v>25</v>
      </c>
    </row>
    <row r="83" spans="2:6" ht="15.75" thickBot="1" x14ac:dyDescent="0.3">
      <c r="B83" s="11">
        <v>3</v>
      </c>
      <c r="C83" s="8" t="s">
        <v>69</v>
      </c>
      <c r="D83" s="10">
        <v>37</v>
      </c>
    </row>
    <row r="84" spans="2:6" ht="15.75" thickBot="1" x14ac:dyDescent="0.3">
      <c r="B84" s="11">
        <v>4</v>
      </c>
      <c r="C84" s="8" t="s">
        <v>70</v>
      </c>
      <c r="D84" s="10">
        <v>42</v>
      </c>
    </row>
    <row r="85" spans="2:6" ht="15.75" thickBot="1" x14ac:dyDescent="0.3">
      <c r="B85" s="11">
        <v>5</v>
      </c>
      <c r="C85" s="8" t="s">
        <v>71</v>
      </c>
      <c r="D85" s="10">
        <v>55</v>
      </c>
    </row>
    <row r="86" spans="2:6" ht="15.75" thickBot="1" x14ac:dyDescent="0.3">
      <c r="B86" s="11">
        <v>6</v>
      </c>
      <c r="C86" s="8" t="s">
        <v>72</v>
      </c>
      <c r="D86" s="10">
        <v>66</v>
      </c>
    </row>
    <row r="87" spans="2:6" ht="15.75" thickBot="1" x14ac:dyDescent="0.3">
      <c r="C87" s="3"/>
      <c r="D87" s="3"/>
      <c r="E87" s="3"/>
      <c r="F87" s="3"/>
    </row>
    <row r="88" spans="2:6" ht="15.75" thickBot="1" x14ac:dyDescent="0.3">
      <c r="B88" s="11">
        <v>1</v>
      </c>
      <c r="C88" s="8" t="s">
        <v>13</v>
      </c>
      <c r="D88" s="34">
        <f>wage_snr_spec</f>
        <v>93</v>
      </c>
      <c r="E88" s="3"/>
      <c r="F88" s="3"/>
    </row>
    <row r="89" spans="2:6" ht="15.75" thickBot="1" x14ac:dyDescent="0.3">
      <c r="B89" s="11">
        <v>2</v>
      </c>
      <c r="C89" s="8" t="s">
        <v>12</v>
      </c>
      <c r="D89" s="34">
        <f>wage_spec_1</f>
        <v>68</v>
      </c>
      <c r="E89" s="3"/>
      <c r="F89" s="3"/>
    </row>
    <row r="90" spans="2:6" ht="15.75" thickBot="1" x14ac:dyDescent="0.3">
      <c r="B90" s="11">
        <v>3</v>
      </c>
      <c r="C90" s="8" t="s">
        <v>14</v>
      </c>
      <c r="D90" s="34">
        <f>wage_spec_2</f>
        <v>68</v>
      </c>
      <c r="E90" s="3"/>
      <c r="F90" s="3"/>
    </row>
    <row r="91" spans="2:6" ht="15.75" thickBot="1" x14ac:dyDescent="0.3">
      <c r="B91" s="11">
        <v>4</v>
      </c>
      <c r="C91" s="8" t="s">
        <v>74</v>
      </c>
      <c r="D91" s="34">
        <f>cost_trainers</f>
        <v>350</v>
      </c>
      <c r="E91" s="3"/>
      <c r="F91" s="3"/>
    </row>
    <row r="92" spans="2:6" ht="15.75" thickBot="1" x14ac:dyDescent="0.3">
      <c r="B92" s="11">
        <v>5</v>
      </c>
      <c r="C92" s="8" t="s">
        <v>48</v>
      </c>
      <c r="D92" s="34">
        <f>wage_team_leader</f>
        <v>66</v>
      </c>
      <c r="E92" s="3"/>
      <c r="F92" s="3"/>
    </row>
    <row r="93" spans="2:6" x14ac:dyDescent="0.25">
      <c r="B93" s="11">
        <v>6</v>
      </c>
      <c r="C93" s="3"/>
      <c r="D93" s="35">
        <v>0</v>
      </c>
      <c r="E93" s="3"/>
      <c r="F93" s="3"/>
    </row>
    <row r="94" spans="2:6" x14ac:dyDescent="0.25">
      <c r="C94" s="5" t="s">
        <v>89</v>
      </c>
      <c r="D94" s="3"/>
      <c r="E94" s="3"/>
      <c r="F94" s="3"/>
    </row>
    <row r="95" spans="2:6" x14ac:dyDescent="0.25">
      <c r="C95" s="5" t="s">
        <v>75</v>
      </c>
      <c r="D95" s="3"/>
      <c r="E95" s="5"/>
      <c r="F95" s="5"/>
    </row>
    <row r="96" spans="2:6" x14ac:dyDescent="0.25">
      <c r="C96" s="3" t="s">
        <v>76</v>
      </c>
      <c r="D96" s="3"/>
      <c r="E96" s="3"/>
      <c r="F96" s="3"/>
    </row>
    <row r="97" spans="3:6" x14ac:dyDescent="0.25">
      <c r="C97" s="3"/>
      <c r="D97" s="3"/>
      <c r="E97" s="3"/>
      <c r="F97" s="3"/>
    </row>
    <row r="98" spans="3:6" x14ac:dyDescent="0.25">
      <c r="C98" s="5"/>
      <c r="D98" s="5"/>
      <c r="E98" s="5"/>
      <c r="F98" s="3"/>
    </row>
    <row r="99" spans="3:6" x14ac:dyDescent="0.25">
      <c r="E99" s="3"/>
      <c r="F99" s="3"/>
    </row>
    <row r="100" spans="3:6" x14ac:dyDescent="0.25">
      <c r="E100" s="3"/>
      <c r="F100" s="3"/>
    </row>
    <row r="101" spans="3:6" x14ac:dyDescent="0.25">
      <c r="E101" s="3"/>
      <c r="F101" s="3"/>
    </row>
    <row r="102" spans="3:6" x14ac:dyDescent="0.25">
      <c r="E102" s="3"/>
      <c r="F102" s="3"/>
    </row>
    <row r="103" spans="3:6" x14ac:dyDescent="0.25">
      <c r="D103" s="3"/>
      <c r="E103" s="3"/>
      <c r="F103" s="3"/>
    </row>
    <row r="104" spans="3:6" x14ac:dyDescent="0.25">
      <c r="D104" s="3"/>
      <c r="E104" s="3"/>
      <c r="F104" s="3"/>
    </row>
    <row r="105" spans="3:6" x14ac:dyDescent="0.25">
      <c r="D105" s="3"/>
      <c r="E105" s="3"/>
      <c r="F105" s="3"/>
    </row>
    <row r="106" spans="3:6" x14ac:dyDescent="0.25">
      <c r="D106" s="3"/>
      <c r="E106" s="3"/>
      <c r="F106" s="3"/>
    </row>
    <row r="107" spans="3:6" x14ac:dyDescent="0.25">
      <c r="C107" s="3"/>
      <c r="D107" s="3"/>
      <c r="E107" s="3"/>
      <c r="F107" s="3"/>
    </row>
    <row r="108" spans="3:6" x14ac:dyDescent="0.25">
      <c r="C108" s="3"/>
      <c r="D108" s="3"/>
    </row>
    <row r="109" spans="3:6" x14ac:dyDescent="0.25">
      <c r="C109" s="3"/>
      <c r="D109" s="3"/>
    </row>
    <row r="110" spans="3:6" x14ac:dyDescent="0.25">
      <c r="C110" s="3"/>
      <c r="D110" s="3"/>
    </row>
    <row r="111" spans="3:6" x14ac:dyDescent="0.25">
      <c r="C111" s="3"/>
    </row>
  </sheetData>
  <mergeCells count="4">
    <mergeCell ref="C6:E6"/>
    <mergeCell ref="H14:K14"/>
    <mergeCell ref="C4:L4"/>
    <mergeCell ref="O14:R1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</xdr:col>
                    <xdr:colOff>857250</xdr:colOff>
                    <xdr:row>9</xdr:row>
                    <xdr:rowOff>19050</xdr:rowOff>
                  </from>
                  <to>
                    <xdr:col>5</xdr:col>
                    <xdr:colOff>857250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8</xdr:col>
                    <xdr:colOff>0</xdr:colOff>
                    <xdr:row>42</xdr:row>
                    <xdr:rowOff>19050</xdr:rowOff>
                  </from>
                  <to>
                    <xdr:col>9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10</xdr:col>
                    <xdr:colOff>0</xdr:colOff>
                    <xdr:row>42</xdr:row>
                    <xdr:rowOff>19050</xdr:rowOff>
                  </from>
                  <to>
                    <xdr:col>11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8</xdr:col>
                    <xdr:colOff>0</xdr:colOff>
                    <xdr:row>44</xdr:row>
                    <xdr:rowOff>19050</xdr:rowOff>
                  </from>
                  <to>
                    <xdr:col>9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10</xdr:col>
                    <xdr:colOff>0</xdr:colOff>
                    <xdr:row>44</xdr:row>
                    <xdr:rowOff>19050</xdr:rowOff>
                  </from>
                  <to>
                    <xdr:col>11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Drop Down 14">
              <controlPr defaultSize="0" autoLine="0" autoPict="0">
                <anchor moveWithCells="1">
                  <from>
                    <xdr:col>8</xdr:col>
                    <xdr:colOff>0</xdr:colOff>
                    <xdr:row>46</xdr:row>
                    <xdr:rowOff>19050</xdr:rowOff>
                  </from>
                  <to>
                    <xdr:col>9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Drop Down 15">
              <controlPr defaultSize="0" autoLine="0" autoPict="0">
                <anchor moveWithCells="1">
                  <from>
                    <xdr:col>10</xdr:col>
                    <xdr:colOff>0</xdr:colOff>
                    <xdr:row>46</xdr:row>
                    <xdr:rowOff>0</xdr:rowOff>
                  </from>
                  <to>
                    <xdr:col>11</xdr:col>
                    <xdr:colOff>104775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Drop Down 16">
              <controlPr defaultSize="0" autoLine="0" autoPict="0">
                <anchor moveWithCells="1">
                  <from>
                    <xdr:col>8</xdr:col>
                    <xdr:colOff>0</xdr:colOff>
                    <xdr:row>48</xdr:row>
                    <xdr:rowOff>19050</xdr:rowOff>
                  </from>
                  <to>
                    <xdr:col>9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Drop Down 17">
              <controlPr defaultSize="0" autoLine="0" autoPict="0">
                <anchor moveWithCells="1">
                  <from>
                    <xdr:col>10</xdr:col>
                    <xdr:colOff>0</xdr:colOff>
                    <xdr:row>48</xdr:row>
                    <xdr:rowOff>19050</xdr:rowOff>
                  </from>
                  <to>
                    <xdr:col>11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Drop Down 22">
              <controlPr defaultSize="0" autoLine="0" autoPict="0">
                <anchor moveWithCells="1">
                  <from>
                    <xdr:col>8</xdr:col>
                    <xdr:colOff>0</xdr:colOff>
                    <xdr:row>54</xdr:row>
                    <xdr:rowOff>19050</xdr:rowOff>
                  </from>
                  <to>
                    <xdr:col>9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Drop Down 23">
              <controlPr defaultSize="0" autoLine="0" autoPict="0">
                <anchor moveWithCells="1">
                  <from>
                    <xdr:col>10</xdr:col>
                    <xdr:colOff>0</xdr:colOff>
                    <xdr:row>54</xdr:row>
                    <xdr:rowOff>19050</xdr:rowOff>
                  </from>
                  <to>
                    <xdr:col>11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Drop Down 25">
              <controlPr defaultSize="0" autoLine="0" autoPict="0">
                <anchor moveWithCells="1">
                  <from>
                    <xdr:col>8</xdr:col>
                    <xdr:colOff>0</xdr:colOff>
                    <xdr:row>38</xdr:row>
                    <xdr:rowOff>19050</xdr:rowOff>
                  </from>
                  <to>
                    <xdr:col>9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Drop Down 26">
              <controlPr defaultSize="0" autoLine="0" autoPict="0">
                <anchor moveWithCells="1">
                  <from>
                    <xdr:col>10</xdr:col>
                    <xdr:colOff>0</xdr:colOff>
                    <xdr:row>38</xdr:row>
                    <xdr:rowOff>19050</xdr:rowOff>
                  </from>
                  <to>
                    <xdr:col>11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Drop Down 27">
              <controlPr defaultSize="0" autoLine="0" autoPict="0">
                <anchor moveWithCells="1">
                  <from>
                    <xdr:col>8</xdr:col>
                    <xdr:colOff>0</xdr:colOff>
                    <xdr:row>40</xdr:row>
                    <xdr:rowOff>19050</xdr:rowOff>
                  </from>
                  <to>
                    <xdr:col>9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Drop Down 28">
              <controlPr defaultSize="0" autoLine="0" autoPict="0">
                <anchor moveWithCells="1">
                  <from>
                    <xdr:col>10</xdr:col>
                    <xdr:colOff>0</xdr:colOff>
                    <xdr:row>40</xdr:row>
                    <xdr:rowOff>19050</xdr:rowOff>
                  </from>
                  <to>
                    <xdr:col>11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Drop Down 29">
              <controlPr defaultSize="0" autoLine="0" autoPict="0">
                <anchor moveWithCells="1">
                  <from>
                    <xdr:col>8</xdr:col>
                    <xdr:colOff>0</xdr:colOff>
                    <xdr:row>50</xdr:row>
                    <xdr:rowOff>19050</xdr:rowOff>
                  </from>
                  <to>
                    <xdr:col>9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Drop Down 30">
              <controlPr defaultSize="0" autoLine="0" autoPict="0">
                <anchor moveWithCells="1">
                  <from>
                    <xdr:col>10</xdr:col>
                    <xdr:colOff>0</xdr:colOff>
                    <xdr:row>50</xdr:row>
                    <xdr:rowOff>19050</xdr:rowOff>
                  </from>
                  <to>
                    <xdr:col>11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Drop Down 33">
              <controlPr defaultSize="0" autoLine="0" autoPict="0">
                <anchor moveWithCells="1">
                  <from>
                    <xdr:col>2</xdr:col>
                    <xdr:colOff>2000250</xdr:colOff>
                    <xdr:row>32</xdr:row>
                    <xdr:rowOff>0</xdr:rowOff>
                  </from>
                  <to>
                    <xdr:col>3</xdr:col>
                    <xdr:colOff>781050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Drop Down 34">
              <controlPr defaultSize="0" autoLine="0" autoPict="0">
                <anchor moveWithCells="1">
                  <from>
                    <xdr:col>8</xdr:col>
                    <xdr:colOff>0</xdr:colOff>
                    <xdr:row>52</xdr:row>
                    <xdr:rowOff>19050</xdr:rowOff>
                  </from>
                  <to>
                    <xdr:col>9</xdr:col>
                    <xdr:colOff>104775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Drop Down 35">
              <controlPr defaultSize="0" autoLine="0" autoPict="0">
                <anchor moveWithCells="1">
                  <from>
                    <xdr:col>10</xdr:col>
                    <xdr:colOff>0</xdr:colOff>
                    <xdr:row>52</xdr:row>
                    <xdr:rowOff>19050</xdr:rowOff>
                  </from>
                  <to>
                    <xdr:col>11</xdr:col>
                    <xdr:colOff>104775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5:F45"/>
  <sheetViews>
    <sheetView topLeftCell="A4" workbookViewId="0">
      <selection activeCell="D13" sqref="D13"/>
    </sheetView>
  </sheetViews>
  <sheetFormatPr defaultRowHeight="15" x14ac:dyDescent="0.25"/>
  <cols>
    <col min="3" max="3" width="35.28515625" bestFit="1" customWidth="1"/>
    <col min="4" max="6" width="16.42578125" customWidth="1"/>
  </cols>
  <sheetData>
    <row r="5" spans="3:6" x14ac:dyDescent="0.25">
      <c r="C5" s="1"/>
      <c r="D5" s="6" t="s">
        <v>25</v>
      </c>
      <c r="E5" s="6" t="s">
        <v>26</v>
      </c>
      <c r="F5" s="6" t="s">
        <v>1</v>
      </c>
    </row>
    <row r="6" spans="3:6" x14ac:dyDescent="0.25">
      <c r="C6" s="24" t="s">
        <v>0</v>
      </c>
      <c r="D6" s="1"/>
      <c r="E6" s="1"/>
      <c r="F6" s="1"/>
    </row>
    <row r="7" spans="3:6" x14ac:dyDescent="0.25">
      <c r="C7" s="1" t="s">
        <v>43</v>
      </c>
      <c r="D7" s="2">
        <f>Inputs!Q39*Inputs!E39+Inputs!P39*Inputs!E39</f>
        <v>99</v>
      </c>
      <c r="E7" s="2">
        <f>staff_wage*(Inputs!E39+Inputs!G39)*staff_session</f>
        <v>168</v>
      </c>
      <c r="F7" s="2"/>
    </row>
    <row r="8" spans="3:6" x14ac:dyDescent="0.25">
      <c r="C8" s="1"/>
      <c r="D8" s="2"/>
      <c r="E8" s="2"/>
      <c r="F8" s="2"/>
    </row>
    <row r="9" spans="3:6" x14ac:dyDescent="0.25">
      <c r="C9" s="1" t="s">
        <v>44</v>
      </c>
      <c r="D9" s="2">
        <f>Inputs!E41*Inputs!P41+Inputs!E41*Inputs!Q41</f>
        <v>0</v>
      </c>
      <c r="E9" s="2">
        <f>staff_wage*(Inputs!E41+Inputs!G41)*staff_session</f>
        <v>126</v>
      </c>
      <c r="F9" s="2"/>
    </row>
    <row r="10" spans="3:6" x14ac:dyDescent="0.25">
      <c r="C10" s="1"/>
      <c r="D10" s="2"/>
      <c r="E10" s="2"/>
      <c r="F10" s="2"/>
    </row>
    <row r="11" spans="3:6" x14ac:dyDescent="0.25">
      <c r="C11" s="1" t="s">
        <v>54</v>
      </c>
      <c r="D11" s="2">
        <f>Inputs!E43*Inputs!P43+Inputs!E43*Inputs!Q43</f>
        <v>0</v>
      </c>
      <c r="E11" s="2">
        <f>staff_wage*(Inputs!E43+Inputs!G43)*staff_session</f>
        <v>42</v>
      </c>
      <c r="F11" s="2"/>
    </row>
    <row r="12" spans="3:6" x14ac:dyDescent="0.25">
      <c r="C12" s="1"/>
      <c r="D12" s="2"/>
      <c r="E12" s="2"/>
      <c r="F12" s="2"/>
    </row>
    <row r="13" spans="3:6" x14ac:dyDescent="0.25">
      <c r="C13" s="1" t="s">
        <v>2</v>
      </c>
      <c r="D13" s="2">
        <f>Inputs!E45*Inputs!P45+Inputs!E45*Inputs!Q45</f>
        <v>231</v>
      </c>
      <c r="E13" s="2">
        <f>(Inputs!E45+Inputs!G45)*staff_wage*staff_session</f>
        <v>588</v>
      </c>
      <c r="F13" s="2"/>
    </row>
    <row r="14" spans="3:6" x14ac:dyDescent="0.25">
      <c r="C14" s="1"/>
      <c r="D14" s="2"/>
      <c r="E14" s="2"/>
      <c r="F14" s="2"/>
    </row>
    <row r="15" spans="3:6" x14ac:dyDescent="0.25">
      <c r="C15" s="1" t="s">
        <v>46</v>
      </c>
      <c r="D15" s="2">
        <f>Inputs!E47*Inputs!P47+Inputs!E47*Inputs!Q47</f>
        <v>99</v>
      </c>
      <c r="E15" s="2">
        <f>(Inputs!E47+Inputs!G47)*staff_wage*staff_session</f>
        <v>126</v>
      </c>
      <c r="F15" s="2"/>
    </row>
    <row r="16" spans="3:6" x14ac:dyDescent="0.25">
      <c r="C16" s="1"/>
      <c r="D16" s="2"/>
      <c r="E16" s="2"/>
      <c r="F16" s="2"/>
    </row>
    <row r="17" spans="3:6" x14ac:dyDescent="0.25">
      <c r="C17" s="1" t="s">
        <v>3</v>
      </c>
      <c r="D17" s="2">
        <f>Inputs!E49*Inputs!P49+Inputs!E49*Inputs!Q49</f>
        <v>279</v>
      </c>
      <c r="E17" s="2">
        <f>(Inputs!E49+Inputs!G49)*staff_wage*staff_session</f>
        <v>252</v>
      </c>
      <c r="F17" s="2"/>
    </row>
    <row r="18" spans="3:6" x14ac:dyDescent="0.25">
      <c r="C18" s="1"/>
      <c r="D18" s="2"/>
      <c r="E18" s="2"/>
      <c r="F18" s="2"/>
    </row>
    <row r="19" spans="3:6" x14ac:dyDescent="0.25">
      <c r="C19" s="1" t="s">
        <v>47</v>
      </c>
      <c r="D19" s="2">
        <f>Inputs!E51*Inputs!P51+Inputs!E51*Inputs!Q51</f>
        <v>198</v>
      </c>
      <c r="E19" s="2">
        <f>(Inputs!E51+Inputs!G51)*staff_wage*staff_session</f>
        <v>252</v>
      </c>
      <c r="F19" s="2"/>
    </row>
    <row r="20" spans="3:6" x14ac:dyDescent="0.25">
      <c r="C20" s="1"/>
      <c r="D20" s="2"/>
      <c r="E20" s="2"/>
      <c r="F20" s="2"/>
    </row>
    <row r="21" spans="3:6" x14ac:dyDescent="0.25">
      <c r="C21" s="1" t="s">
        <v>50</v>
      </c>
      <c r="D21" s="2">
        <f>Inputs!E53*Inputs!P53+Inputs!E53*Inputs!Q53</f>
        <v>198</v>
      </c>
      <c r="E21" s="2">
        <f>staff_wage*(Inputs!E53+Inputs!G53)*staff_session</f>
        <v>252</v>
      </c>
      <c r="F21" s="2"/>
    </row>
    <row r="22" spans="3:6" x14ac:dyDescent="0.25">
      <c r="C22" s="1"/>
      <c r="D22" s="2"/>
      <c r="E22" s="2"/>
      <c r="F22" s="2"/>
    </row>
    <row r="23" spans="3:6" x14ac:dyDescent="0.25">
      <c r="C23" s="1" t="s">
        <v>49</v>
      </c>
      <c r="D23" s="2">
        <f>Inputs!E55*Inputs!P55+Inputs!E55*Inputs!Q55</f>
        <v>99</v>
      </c>
      <c r="E23" s="2">
        <f>staff_wage*(Inputs!E55+Inputs!G55)*staff_session</f>
        <v>126</v>
      </c>
      <c r="F23" s="2"/>
    </row>
    <row r="24" spans="3:6" x14ac:dyDescent="0.25">
      <c r="C24" s="1"/>
      <c r="D24" s="2"/>
      <c r="E24" s="2"/>
      <c r="F24" s="2"/>
    </row>
    <row r="25" spans="3:6" x14ac:dyDescent="0.25">
      <c r="C25" s="1" t="s">
        <v>4</v>
      </c>
      <c r="D25" s="2">
        <f>travel</f>
        <v>100</v>
      </c>
      <c r="E25" s="2"/>
      <c r="F25" s="2"/>
    </row>
    <row r="26" spans="3:6" x14ac:dyDescent="0.25">
      <c r="C26" s="1"/>
      <c r="D26" s="2"/>
      <c r="E26" s="2"/>
      <c r="F26" s="3"/>
    </row>
    <row r="27" spans="3:6" x14ac:dyDescent="0.25">
      <c r="C27" s="1" t="s">
        <v>35</v>
      </c>
      <c r="D27" s="2">
        <f>SUM(D7:D25)</f>
        <v>1303</v>
      </c>
      <c r="E27" s="2">
        <f>SUM(E7:E23)</f>
        <v>1932</v>
      </c>
    </row>
    <row r="28" spans="3:6" x14ac:dyDescent="0.25">
      <c r="C28" s="1"/>
      <c r="D28" s="2"/>
      <c r="E28" s="2"/>
    </row>
    <row r="29" spans="3:6" x14ac:dyDescent="0.25">
      <c r="C29" s="1" t="s">
        <v>27</v>
      </c>
      <c r="D29" s="2">
        <f>D27/staff_session</f>
        <v>651.5</v>
      </c>
      <c r="E29" s="2">
        <f>E27/staff_session</f>
        <v>966</v>
      </c>
      <c r="F29" s="4"/>
    </row>
    <row r="30" spans="3:6" x14ac:dyDescent="0.25">
      <c r="C30" s="1"/>
      <c r="D30" s="4"/>
      <c r="E30" s="2"/>
      <c r="F30" s="4"/>
    </row>
    <row r="31" spans="3:6" x14ac:dyDescent="0.25">
      <c r="C31" s="1" t="s">
        <v>10</v>
      </c>
      <c r="D31" s="2">
        <f>D29/caseload/turnover</f>
        <v>5.4291666666666663</v>
      </c>
      <c r="E31" s="2">
        <f>E29/caseload/turnover</f>
        <v>8.0500000000000007</v>
      </c>
      <c r="F31" s="2"/>
    </row>
    <row r="32" spans="3:6" x14ac:dyDescent="0.25">
      <c r="C32" s="1"/>
      <c r="D32" s="2"/>
      <c r="E32" s="2"/>
      <c r="F32" s="2"/>
    </row>
    <row r="33" spans="3:6" x14ac:dyDescent="0.25">
      <c r="C33" s="24" t="s">
        <v>36</v>
      </c>
      <c r="D33" s="2"/>
      <c r="E33" s="2">
        <f>super_wage*super_time+staff_wage*super_time</f>
        <v>2037</v>
      </c>
      <c r="F33" s="2"/>
    </row>
    <row r="34" spans="3:6" x14ac:dyDescent="0.25">
      <c r="C34" s="1" t="s">
        <v>56</v>
      </c>
      <c r="D34" s="4"/>
      <c r="E34" s="2">
        <f>E33/num_staff_sup</f>
        <v>2037</v>
      </c>
      <c r="F34" s="2"/>
    </row>
    <row r="35" spans="3:6" x14ac:dyDescent="0.25">
      <c r="C35" s="1" t="s">
        <v>6</v>
      </c>
      <c r="D35" s="4"/>
      <c r="E35" s="2">
        <f>E33/num_staff_sup/caseload/turnover</f>
        <v>16.975000000000001</v>
      </c>
      <c r="F35" s="2"/>
    </row>
    <row r="36" spans="3:6" x14ac:dyDescent="0.25">
      <c r="C36" s="1"/>
      <c r="D36" s="1"/>
      <c r="E36" s="1"/>
      <c r="F36" s="2"/>
    </row>
    <row r="37" spans="3:6" x14ac:dyDescent="0.25">
      <c r="C37" s="1" t="s">
        <v>7</v>
      </c>
      <c r="D37" s="1"/>
      <c r="E37" s="1"/>
      <c r="F37" s="2">
        <f>consumables</f>
        <v>7</v>
      </c>
    </row>
    <row r="38" spans="3:6" x14ac:dyDescent="0.25">
      <c r="C38" s="1" t="s">
        <v>52</v>
      </c>
      <c r="D38" s="1"/>
      <c r="E38" s="1"/>
      <c r="F38" s="2">
        <f>Inputs!E16</f>
        <v>1177.78</v>
      </c>
    </row>
    <row r="39" spans="3:6" x14ac:dyDescent="0.25">
      <c r="C39" s="1"/>
      <c r="D39" s="1"/>
      <c r="E39" s="1"/>
      <c r="F39" s="2"/>
    </row>
    <row r="40" spans="3:6" x14ac:dyDescent="0.25">
      <c r="C40" s="24" t="s">
        <v>8</v>
      </c>
      <c r="D40" s="1"/>
      <c r="E40" s="1"/>
      <c r="F40" s="2"/>
    </row>
    <row r="41" spans="3:6" x14ac:dyDescent="0.25">
      <c r="C41" s="1" t="s">
        <v>37</v>
      </c>
      <c r="D41" s="1"/>
      <c r="E41" s="2">
        <f>inter_dur*(staff_wage/60)</f>
        <v>251.99999999999997</v>
      </c>
      <c r="F41" s="2"/>
    </row>
    <row r="42" spans="3:6" x14ac:dyDescent="0.25">
      <c r="C42" s="1" t="s">
        <v>21</v>
      </c>
      <c r="D42" s="1"/>
      <c r="E42" s="2">
        <f>travel_dur*staff_wage/60</f>
        <v>147</v>
      </c>
      <c r="F42" s="2"/>
    </row>
    <row r="43" spans="3:6" x14ac:dyDescent="0.25">
      <c r="C43" s="1"/>
      <c r="D43" s="1"/>
      <c r="E43" s="2"/>
      <c r="F43" s="2"/>
    </row>
    <row r="44" spans="3:6" x14ac:dyDescent="0.25">
      <c r="C44" s="1"/>
      <c r="D44" s="1"/>
      <c r="E44" s="2"/>
      <c r="F44" s="2"/>
    </row>
    <row r="45" spans="3:6" x14ac:dyDescent="0.25">
      <c r="C45" s="1" t="s">
        <v>9</v>
      </c>
      <c r="D45" s="2">
        <f>D31</f>
        <v>5.4291666666666663</v>
      </c>
      <c r="E45" s="2">
        <f>E42+E41+E35+E31</f>
        <v>424.02500000000003</v>
      </c>
      <c r="F45" s="2">
        <f>F37</f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Inputs</vt:lpstr>
      <vt:lpstr>Outputs</vt:lpstr>
      <vt:lpstr>caseload</vt:lpstr>
      <vt:lpstr>consumables</vt:lpstr>
      <vt:lpstr>cost_trainers</vt:lpstr>
      <vt:lpstr>inter_dur</vt:lpstr>
      <vt:lpstr>num_staff_sup</vt:lpstr>
      <vt:lpstr>staff_session</vt:lpstr>
      <vt:lpstr>staff_wage</vt:lpstr>
      <vt:lpstr>super_time</vt:lpstr>
      <vt:lpstr>super_wage</vt:lpstr>
      <vt:lpstr>travel</vt:lpstr>
      <vt:lpstr>travel_dur</vt:lpstr>
      <vt:lpstr>turnover</vt:lpstr>
      <vt:lpstr>wage_snr_spec</vt:lpstr>
      <vt:lpstr>wage_spec_1</vt:lpstr>
      <vt:lpstr>wage_spec_2</vt:lpstr>
      <vt:lpstr>wage_team_leader</vt:lpstr>
    </vt:vector>
  </TitlesOfParts>
  <Company>UCL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M Hunter</dc:creator>
  <cp:lastModifiedBy>Hunter, Rachael</cp:lastModifiedBy>
  <dcterms:created xsi:type="dcterms:W3CDTF">2017-04-27T11:41:05Z</dcterms:created>
  <dcterms:modified xsi:type="dcterms:W3CDTF">2025-04-02T22:30:37Z</dcterms:modified>
</cp:coreProperties>
</file>