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a05\Documents\Z_CV_AcademicProjectsHSC\Academic\KlausHack\.ARevision\Figures\"/>
    </mc:Choice>
  </mc:AlternateContent>
  <xr:revisionPtr revIDLastSave="0" documentId="8_{FD4A46C3-B5DF-4A31-9745-D5CC28474CAF}" xr6:coauthVersionLast="47" xr6:coauthVersionMax="47" xr10:uidLastSave="{00000000-0000-0000-0000-000000000000}"/>
  <bookViews>
    <workbookView xWindow="41895" yWindow="3345" windowWidth="33720" windowHeight="15285" activeTab="2" xr2:uid="{DACEA2F4-DAEB-4132-BB37-A57EA95A6D09}"/>
  </bookViews>
  <sheets>
    <sheet name="In" sheetId="1" r:id="rId1"/>
    <sheet name="Out" sheetId="2" r:id="rId2"/>
    <sheet name="Balanc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2" l="1"/>
  <c r="Q29" i="2"/>
  <c r="Q28" i="2"/>
  <c r="C96" i="2"/>
  <c r="C85" i="2"/>
  <c r="C74" i="2"/>
  <c r="C63" i="2"/>
  <c r="C52" i="2"/>
  <c r="C42" i="2"/>
  <c r="C32" i="2"/>
  <c r="C22" i="2"/>
  <c r="C12" i="2"/>
  <c r="C2" i="2"/>
  <c r="I19" i="4"/>
  <c r="J8" i="1"/>
  <c r="K18" i="1"/>
  <c r="E13" i="4"/>
  <c r="P7" i="4" s="1"/>
  <c r="E12" i="4"/>
  <c r="E11" i="4"/>
  <c r="E10" i="4"/>
  <c r="E9" i="4"/>
  <c r="P6" i="4" s="1"/>
  <c r="E8" i="4"/>
  <c r="E7" i="4"/>
  <c r="E6" i="4"/>
  <c r="E5" i="4"/>
  <c r="E4" i="4"/>
  <c r="P5" i="4" s="1"/>
  <c r="H9" i="1"/>
  <c r="L70" i="2"/>
  <c r="L18" i="2"/>
  <c r="L8" i="2"/>
  <c r="F20" i="2"/>
  <c r="D20" i="2"/>
  <c r="F10" i="2"/>
  <c r="D10" i="2"/>
  <c r="K16" i="1"/>
  <c r="K14" i="1"/>
  <c r="L59" i="2"/>
  <c r="L48" i="2"/>
  <c r="L38" i="2"/>
  <c r="L28" i="2"/>
  <c r="K12" i="1"/>
  <c r="H22" i="4" l="1"/>
  <c r="H20" i="4"/>
  <c r="R5" i="4" s="1"/>
  <c r="H21" i="4"/>
  <c r="H29" i="4"/>
  <c r="R7" i="4" s="1"/>
  <c r="H28" i="4"/>
  <c r="H26" i="4"/>
  <c r="H25" i="4"/>
  <c r="R6" i="4" s="1"/>
  <c r="H27" i="4"/>
  <c r="H24" i="4"/>
  <c r="H23" i="4"/>
  <c r="K17" i="1"/>
  <c r="K15" i="1"/>
  <c r="K13" i="1"/>
  <c r="E4" i="1" l="1"/>
  <c r="J7" i="1"/>
  <c r="J6" i="1"/>
  <c r="J5" i="1"/>
  <c r="L6" i="1" l="1"/>
  <c r="M6" i="1"/>
  <c r="M7" i="1"/>
  <c r="L7" i="1"/>
  <c r="L5" i="1"/>
  <c r="M5" i="1"/>
  <c r="M8" i="1"/>
  <c r="L8" i="1"/>
  <c r="P8" i="1" l="1"/>
  <c r="D9" i="4"/>
  <c r="P22" i="4" s="1"/>
  <c r="M13" i="1"/>
  <c r="L3" i="2" s="1"/>
  <c r="M14" i="1"/>
  <c r="M15" i="1"/>
  <c r="L4" i="2" s="1"/>
  <c r="M16" i="1"/>
  <c r="M12" i="1"/>
  <c r="L10" i="2"/>
  <c r="F20" i="4" s="1"/>
  <c r="L20" i="4" s="1"/>
  <c r="S21" i="4" s="1"/>
  <c r="L20" i="2"/>
  <c r="F21" i="4" s="1"/>
  <c r="L21" i="4" s="1"/>
  <c r="L30" i="2"/>
  <c r="F22" i="4" s="1"/>
  <c r="L22" i="4" s="1"/>
  <c r="L40" i="2"/>
  <c r="F23" i="4" s="1"/>
  <c r="L23" i="4" s="1"/>
  <c r="L50" i="2"/>
  <c r="F24" i="4" s="1"/>
  <c r="L24" i="4" s="1"/>
  <c r="L61" i="2"/>
  <c r="F25" i="4" s="1"/>
  <c r="L25" i="4" s="1"/>
  <c r="S22" i="4" s="1"/>
  <c r="L94" i="2"/>
  <c r="F28" i="4" s="1"/>
  <c r="L28" i="4" s="1"/>
  <c r="L72" i="2"/>
  <c r="F26" i="4" s="1"/>
  <c r="L26" i="4" s="1"/>
  <c r="L83" i="2"/>
  <c r="F27" i="4" s="1"/>
  <c r="L27" i="4" s="1"/>
  <c r="L105" i="2"/>
  <c r="F29" i="4" s="1"/>
  <c r="L29" i="4" s="1"/>
  <c r="S23" i="4" s="1"/>
  <c r="D8" i="4"/>
  <c r="D7" i="4"/>
  <c r="D6" i="4"/>
  <c r="D5" i="4"/>
  <c r="D12" i="4"/>
  <c r="D4" i="4"/>
  <c r="P21" i="4" s="1"/>
  <c r="P9" i="1"/>
  <c r="D13" i="4"/>
  <c r="P23" i="4" s="1"/>
  <c r="D11" i="4"/>
  <c r="D10" i="4"/>
  <c r="L23" i="2"/>
  <c r="L64" i="2"/>
  <c r="L33" i="2"/>
  <c r="L53" i="2"/>
  <c r="L13" i="2"/>
  <c r="L43" i="2"/>
  <c r="M18" i="1"/>
  <c r="M17" i="1"/>
  <c r="L5" i="2" s="1"/>
  <c r="L100" i="2"/>
  <c r="L89" i="2"/>
  <c r="L78" i="2"/>
  <c r="H13" i="4" l="1"/>
  <c r="F42" i="4"/>
  <c r="R31" i="4" s="1"/>
  <c r="L44" i="2"/>
  <c r="L54" i="2"/>
  <c r="H12" i="4"/>
  <c r="F41" i="4"/>
  <c r="F36" i="4"/>
  <c r="H7" i="4"/>
  <c r="F34" i="4"/>
  <c r="H5" i="4"/>
  <c r="F37" i="4"/>
  <c r="H8" i="4"/>
  <c r="M67" i="2"/>
  <c r="L67" i="2"/>
  <c r="L56" i="2"/>
  <c r="M56" i="2"/>
  <c r="H4" i="4"/>
  <c r="F33" i="4"/>
  <c r="R29" i="4" s="1"/>
  <c r="H6" i="4"/>
  <c r="F35" i="4"/>
  <c r="L65" i="2"/>
  <c r="L24" i="2"/>
  <c r="L34" i="2"/>
  <c r="M4" i="2"/>
  <c r="M54" i="2"/>
  <c r="M65" i="2"/>
  <c r="M44" i="2"/>
  <c r="M34" i="2"/>
  <c r="M14" i="2"/>
  <c r="M24" i="2"/>
  <c r="M13" i="2"/>
  <c r="M53" i="2"/>
  <c r="M33" i="2"/>
  <c r="M3" i="2"/>
  <c r="M64" i="2"/>
  <c r="M43" i="2"/>
  <c r="M23" i="2"/>
  <c r="F39" i="4"/>
  <c r="H10" i="4"/>
  <c r="H11" i="4"/>
  <c r="F40" i="4"/>
  <c r="F38" i="4"/>
  <c r="R30" i="4" s="1"/>
  <c r="H9" i="4"/>
  <c r="M25" i="2"/>
  <c r="M15" i="2"/>
  <c r="M5" i="2"/>
  <c r="M66" i="2"/>
  <c r="M35" i="2"/>
  <c r="M55" i="2"/>
  <c r="M45" i="2"/>
  <c r="L25" i="2"/>
  <c r="L26" i="2" s="1"/>
  <c r="D22" i="4" s="1"/>
  <c r="J22" i="4" s="1"/>
  <c r="L35" i="2"/>
  <c r="L36" i="2" s="1"/>
  <c r="D23" i="4" s="1"/>
  <c r="J23" i="4" s="1"/>
  <c r="L55" i="2"/>
  <c r="L57" i="2" s="1"/>
  <c r="D25" i="4" s="1"/>
  <c r="J25" i="4" s="1"/>
  <c r="R22" i="4" s="1"/>
  <c r="L45" i="2"/>
  <c r="L46" i="2" s="1"/>
  <c r="D24" i="4" s="1"/>
  <c r="J24" i="4" s="1"/>
  <c r="L66" i="2"/>
  <c r="L68" i="2" s="1"/>
  <c r="D26" i="4" s="1"/>
  <c r="J26" i="4" s="1"/>
  <c r="L15" i="2"/>
  <c r="L101" i="2"/>
  <c r="L102" i="2" s="1"/>
  <c r="D29" i="4" s="1"/>
  <c r="J29" i="4" s="1"/>
  <c r="R23" i="4" s="1"/>
  <c r="L90" i="2"/>
  <c r="L91" i="2" s="1"/>
  <c r="D28" i="4" s="1"/>
  <c r="J28" i="4" s="1"/>
  <c r="L79" i="2"/>
  <c r="L80" i="2" s="1"/>
  <c r="D27" i="4" s="1"/>
  <c r="J27" i="4" s="1"/>
  <c r="L6" i="2"/>
  <c r="D40" i="4" l="1"/>
  <c r="D41" i="4"/>
  <c r="D42" i="4"/>
  <c r="Q31" i="4" s="1"/>
  <c r="D37" i="4"/>
  <c r="M68" i="2"/>
  <c r="E26" i="4" s="1"/>
  <c r="M57" i="2"/>
  <c r="E25" i="4" s="1"/>
  <c r="M36" i="2"/>
  <c r="E23" i="4" s="1"/>
  <c r="D35" i="4"/>
  <c r="M46" i="2"/>
  <c r="E24" i="4" s="1"/>
  <c r="D36" i="4"/>
  <c r="M6" i="2"/>
  <c r="E20" i="4" s="1"/>
  <c r="M26" i="2"/>
  <c r="E22" i="4" s="1"/>
  <c r="D38" i="4"/>
  <c r="Q30" i="4" s="1"/>
  <c r="D39" i="4"/>
  <c r="D20" i="4"/>
  <c r="P18" i="1"/>
  <c r="M16" i="2"/>
  <c r="E21" i="4" s="1"/>
  <c r="L14" i="2"/>
  <c r="L16" i="2" s="1"/>
  <c r="D21" i="4" s="1"/>
  <c r="K20" i="4" l="1"/>
  <c r="Q21" i="4" s="1"/>
  <c r="E33" i="4"/>
  <c r="P29" i="4" s="1"/>
  <c r="K21" i="4"/>
  <c r="E34" i="4"/>
  <c r="J21" i="4"/>
  <c r="D34" i="4"/>
  <c r="J20" i="4"/>
  <c r="R21" i="4" s="1"/>
  <c r="D33" i="4"/>
  <c r="Q29" i="4" s="1"/>
  <c r="K22" i="4"/>
  <c r="E35" i="4"/>
  <c r="K24" i="4"/>
  <c r="Q22" i="4" s="1"/>
  <c r="E37" i="4"/>
  <c r="K23" i="4"/>
  <c r="E36" i="4"/>
  <c r="K25" i="4"/>
  <c r="E38" i="4"/>
  <c r="P30" i="4" s="1"/>
  <c r="K26" i="4"/>
  <c r="E39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AE8DF4-6945-4D48-A660-3A3DA0EBBD3C}" keepAlive="1" name="Abfrage - Short 2Fe plus 1SiO2 varying logpO2 including Delta Values 1250C" description="Verbindung mit der Abfrage 'Short 2Fe plus 1SiO2 varying logpO2 including Delta Values 1250C' in der Arbeitsmappe." type="5" refreshedVersion="0" background="1">
    <dbPr connection="Provider=Microsoft.Mashup.OleDb.1;Data Source=$Workbook$;Location=&quot;Short 2Fe plus 1SiO2 varying logpO2 including Delta Values 1250C&quot;;Extended Properties=&quot;&quot;" command="SELECT * FROM [Short 2Fe plus 1SiO2 varying logpO2 including Delta Values 1250C]"/>
  </connection>
</connections>
</file>

<file path=xl/sharedStrings.xml><?xml version="1.0" encoding="utf-8"?>
<sst xmlns="http://schemas.openxmlformats.org/spreadsheetml/2006/main" count="322" uniqueCount="112">
  <si>
    <t>Input Species</t>
  </si>
  <si>
    <t>Temp. (°C)</t>
  </si>
  <si>
    <t>Pressure (atm)</t>
  </si>
  <si>
    <t>Amoount mol</t>
  </si>
  <si>
    <t>Amount kg</t>
  </si>
  <si>
    <t>Amount Nm3</t>
  </si>
  <si>
    <t>Heat Content</t>
  </si>
  <si>
    <t>Exergy(tot) kJ</t>
  </si>
  <si>
    <t>Fe</t>
  </si>
  <si>
    <t>Total H  kJ</t>
  </si>
  <si>
    <t>O2</t>
  </si>
  <si>
    <t>Fe2O3</t>
  </si>
  <si>
    <t>FeO(l)</t>
  </si>
  <si>
    <t>Fe2O3(l)</t>
  </si>
  <si>
    <t>SiO2(l)</t>
  </si>
  <si>
    <t>Fe3O4(s,total)</t>
  </si>
  <si>
    <t>SiO2(tridym)</t>
  </si>
  <si>
    <t>Species</t>
  </si>
  <si>
    <t xml:space="preserve">activity </t>
  </si>
  <si>
    <t>X(Fe)</t>
  </si>
  <si>
    <t>delta</t>
  </si>
  <si>
    <t>Slag</t>
  </si>
  <si>
    <t>Fe3O4(s)</t>
  </si>
  <si>
    <t>SiO2(trid.)</t>
  </si>
  <si>
    <t>FeO(s)</t>
  </si>
  <si>
    <t>Total H  J/mol</t>
  </si>
  <si>
    <t>Entropy J/mol*K</t>
  </si>
  <si>
    <t>Exergy (phys)/kJ</t>
  </si>
  <si>
    <t>Fe3O4(s2)</t>
  </si>
  <si>
    <t>DG° kJ/mol</t>
  </si>
  <si>
    <t>Si</t>
  </si>
  <si>
    <t>Exergy(tot) kJ/mol</t>
  </si>
  <si>
    <t>Exergy (chem) kJ/mol</t>
  </si>
  <si>
    <t>O2 mol</t>
  </si>
  <si>
    <t>SiO2 mol</t>
  </si>
  <si>
    <t>Fe mol</t>
  </si>
  <si>
    <t>P atm</t>
  </si>
  <si>
    <t>T °C</t>
  </si>
  <si>
    <t>H/J</t>
  </si>
  <si>
    <t>S J/K</t>
  </si>
  <si>
    <t>Fe3O4 mol</t>
  </si>
  <si>
    <t>Fe2O3 mol</t>
  </si>
  <si>
    <t>SiO2(quartz)</t>
  </si>
  <si>
    <t xml:space="preserve">    reference: 2 Fe + 1 SiO2 with O2 at 1 atm</t>
  </si>
  <si>
    <t xml:space="preserve">   reference: 2 Fe + 1 SiO2 with O2 at 1 atm</t>
  </si>
  <si>
    <t>Fe2O3(s)</t>
  </si>
  <si>
    <t>H(RT):</t>
  </si>
  <si>
    <t>S(RT):</t>
  </si>
  <si>
    <t>H/J:</t>
  </si>
  <si>
    <t>S/J*K:</t>
  </si>
  <si>
    <t>H(RT)/J:</t>
  </si>
  <si>
    <t>S(RT)/J*K:</t>
  </si>
  <si>
    <t>Exergy(tot) ref to stable compounds at1250</t>
  </si>
  <si>
    <t>Table of Phases as well as H and S at RT for O2-amounts from 1250°C</t>
  </si>
  <si>
    <t>Taken</t>
  </si>
  <si>
    <t>from</t>
  </si>
  <si>
    <t>HSC</t>
  </si>
  <si>
    <t xml:space="preserve">  Only solid products!</t>
  </si>
  <si>
    <t>Total</t>
  </si>
  <si>
    <t>Amount O2</t>
  </si>
  <si>
    <t xml:space="preserve">Input at 298.15K:  2 Fe + Amount of O2 according to partial pressure at 1250C + SiO2(quartz) + Delta_H with respect to 1250°C </t>
  </si>
  <si>
    <t>Output Material: According to equilibrium at 1250°C under given p(O2)</t>
  </si>
  <si>
    <t>Exergy/kJ</t>
  </si>
  <si>
    <t>Exergy-1/kJ</t>
  </si>
  <si>
    <t>Exergy-2/kJ</t>
  </si>
  <si>
    <t>Exergy-3/kJ</t>
  </si>
  <si>
    <t>SiO2 + Fe3O4</t>
  </si>
  <si>
    <t>Ref.=solid</t>
  </si>
  <si>
    <t>Ref.=liquid</t>
  </si>
  <si>
    <t>Full Formula</t>
  </si>
  <si>
    <t>Slag + Fe3O4</t>
  </si>
  <si>
    <t>Heat_input/kJ</t>
  </si>
  <si>
    <t>Product(s)</t>
  </si>
  <si>
    <t>Products(s)</t>
  </si>
  <si>
    <t>E_in - E_out</t>
  </si>
  <si>
    <t>Eergy-Heat</t>
  </si>
  <si>
    <t>kJ</t>
  </si>
  <si>
    <t>(T-T°)/T</t>
  </si>
  <si>
    <t>Heat*(T-T°)/T</t>
  </si>
  <si>
    <t>liq+heat</t>
  </si>
  <si>
    <t>sol+heat</t>
  </si>
  <si>
    <t>full+heat</t>
  </si>
  <si>
    <t>log pO2</t>
  </si>
  <si>
    <r>
      <t>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-partial pressure</t>
    </r>
  </si>
  <si>
    <r>
      <t>Equilibrium amount of 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</t>
    </r>
  </si>
  <si>
    <t>Phase constellation</t>
  </si>
  <si>
    <r>
      <t>Slag + Fe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4</t>
    </r>
  </si>
  <si>
    <r>
      <t>SiO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+ Fe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4</t>
    </r>
  </si>
  <si>
    <t>atm</t>
  </si>
  <si>
    <t>mol</t>
  </si>
  <si>
    <t>-</t>
  </si>
  <si>
    <t>log(atm)</t>
  </si>
  <si>
    <t>Delta H</t>
  </si>
  <si>
    <t>(T-To)/T</t>
  </si>
  <si>
    <t>Additiona to Eout</t>
  </si>
  <si>
    <t>Stable phases</t>
  </si>
  <si>
    <t>H°/kJ/mol</t>
  </si>
  <si>
    <t>kJ/mol</t>
  </si>
  <si>
    <t>Not calculated*</t>
  </si>
  <si>
    <t>Eq. 4</t>
  </si>
  <si>
    <r>
      <t>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-partial pressure</t>
    </r>
  </si>
  <si>
    <r>
      <t>S°/kJ/mol</t>
    </r>
    <r>
      <rPr>
        <vertAlign val="subscript"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>K</t>
    </r>
  </si>
  <si>
    <r>
      <t>Fe+Fe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+SiO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</si>
  <si>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Fe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+Fe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+SiO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</si>
  <si>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E</t>
    </r>
    <r>
      <rPr>
        <vertAlign val="subscript"/>
        <sz val="11"/>
        <color theme="1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 xml:space="preserve"> </t>
    </r>
  </si>
  <si>
    <r>
      <t>E</t>
    </r>
    <r>
      <rPr>
        <vertAlign val="subscript"/>
        <sz val="11"/>
        <color theme="1"/>
        <rFont val="Calibri"/>
        <family val="2"/>
        <scheme val="minor"/>
      </rPr>
      <t>out</t>
    </r>
    <r>
      <rPr>
        <sz val="11"/>
        <color theme="1"/>
        <rFont val="Calibri"/>
        <family val="2"/>
        <scheme val="minor"/>
      </rPr>
      <t xml:space="preserve"> (Eq. 4)</t>
    </r>
  </si>
  <si>
    <r>
      <t>E</t>
    </r>
    <r>
      <rPr>
        <vertAlign val="subscript"/>
        <sz val="11"/>
        <color theme="1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>-E</t>
    </r>
    <r>
      <rPr>
        <vertAlign val="subscript"/>
        <sz val="11"/>
        <color theme="1"/>
        <rFont val="Calibri"/>
        <family val="2"/>
        <scheme val="minor"/>
      </rPr>
      <t xml:space="preserve">out </t>
    </r>
    <r>
      <rPr>
        <sz val="11"/>
        <color theme="1"/>
        <rFont val="Calibri"/>
        <family val="2"/>
        <scheme val="minor"/>
      </rPr>
      <t>(Eq. 4.)</t>
    </r>
  </si>
  <si>
    <r>
      <t>E</t>
    </r>
    <r>
      <rPr>
        <vertAlign val="subscript"/>
        <sz val="11"/>
        <color theme="1"/>
        <rFont val="Calibri"/>
        <family val="2"/>
        <scheme val="minor"/>
      </rPr>
      <t>out</t>
    </r>
    <r>
      <rPr>
        <sz val="11"/>
        <color theme="1"/>
        <rFont val="Calibri"/>
        <family val="2"/>
        <scheme val="minor"/>
      </rPr>
      <t xml:space="preserve"> (solid reference)</t>
    </r>
  </si>
  <si>
    <r>
      <t>E</t>
    </r>
    <r>
      <rPr>
        <vertAlign val="subscript"/>
        <sz val="11"/>
        <color theme="1"/>
        <rFont val="Calibri"/>
        <family val="2"/>
        <scheme val="minor"/>
      </rPr>
      <t>out</t>
    </r>
    <r>
      <rPr>
        <sz val="11"/>
        <color theme="1"/>
        <rFont val="Calibri"/>
        <family val="2"/>
        <scheme val="minor"/>
      </rPr>
      <t xml:space="preserve"> (liquid reference)</t>
    </r>
  </si>
  <si>
    <r>
      <t>E</t>
    </r>
    <r>
      <rPr>
        <vertAlign val="subscript"/>
        <sz val="11"/>
        <color theme="1"/>
        <rFont val="Calibri"/>
        <family val="2"/>
        <scheme val="minor"/>
      </rPr>
      <t>in</t>
    </r>
    <r>
      <rPr>
        <sz val="11"/>
        <color theme="1"/>
        <rFont val="Calibri"/>
        <family val="2"/>
        <scheme val="minor"/>
      </rPr>
      <t>-E</t>
    </r>
    <r>
      <rPr>
        <vertAlign val="subscript"/>
        <sz val="11"/>
        <color theme="1"/>
        <rFont val="Calibri"/>
        <family val="2"/>
        <scheme val="minor"/>
      </rPr>
      <t xml:space="preserve">out </t>
    </r>
    <r>
      <rPr>
        <sz val="11"/>
        <color theme="1"/>
        <rFont val="Calibri"/>
        <family val="2"/>
        <scheme val="minor"/>
      </rPr>
      <t>(liquid reference)</t>
    </r>
  </si>
  <si>
    <t>SIM</t>
  </si>
  <si>
    <t>Data for Figure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</si>
</sst>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vertAlign val="sub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71">
    <xf numFmtId="0" fontId="0" fillId="0" borderId="0" xfId="0"/>
    <xf numFmtId="164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justify" vertical="center"/>
    </xf>
    <xf numFmtId="2" fontId="10" fillId="0" borderId="0" xfId="0" applyNumberFormat="1" applyFont="1" applyAlignment="1">
      <alignment horizontal="left"/>
    </xf>
    <xf numFmtId="2" fontId="0" fillId="0" borderId="0" xfId="0" applyNumberFormat="1" applyAlignment="1">
      <alignment horizontal="left" vertical="center"/>
    </xf>
    <xf numFmtId="164" fontId="0" fillId="0" borderId="2" xfId="0" applyNumberFormat="1" applyBorder="1" applyAlignment="1">
      <alignment horizontal="left"/>
    </xf>
    <xf numFmtId="164" fontId="0" fillId="0" borderId="3" xfId="0" applyNumberFormat="1" applyBorder="1" applyAlignment="1">
      <alignment horizontal="left"/>
    </xf>
    <xf numFmtId="164" fontId="8" fillId="0" borderId="0" xfId="0" applyNumberFormat="1" applyFont="1" applyAlignment="1">
      <alignment horizontal="left"/>
    </xf>
    <xf numFmtId="164" fontId="5" fillId="2" borderId="0" xfId="1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4" fillId="4" borderId="0" xfId="3" applyNumberFormat="1" applyBorder="1" applyAlignment="1">
      <alignment horizontal="left"/>
    </xf>
    <xf numFmtId="164" fontId="2" fillId="2" borderId="0" xfId="1" applyNumberFormat="1" applyBorder="1" applyAlignment="1">
      <alignment horizontal="left"/>
    </xf>
    <xf numFmtId="164" fontId="0" fillId="0" borderId="5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164" fontId="4" fillId="4" borderId="2" xfId="3" applyNumberFormat="1" applyBorder="1" applyAlignment="1">
      <alignment horizontal="left"/>
    </xf>
    <xf numFmtId="164" fontId="2" fillId="2" borderId="2" xfId="1" applyNumberFormat="1" applyBorder="1" applyAlignment="1">
      <alignment horizontal="left"/>
    </xf>
    <xf numFmtId="164" fontId="4" fillId="4" borderId="7" xfId="3" applyNumberFormat="1" applyBorder="1" applyAlignment="1">
      <alignment horizontal="left"/>
    </xf>
    <xf numFmtId="164" fontId="2" fillId="2" borderId="7" xfId="1" applyNumberFormat="1" applyBorder="1" applyAlignment="1">
      <alignment horizontal="left"/>
    </xf>
    <xf numFmtId="2" fontId="0" fillId="0" borderId="2" xfId="0" applyNumberFormat="1" applyBorder="1" applyAlignment="1">
      <alignment horizontal="left"/>
    </xf>
    <xf numFmtId="2" fontId="0" fillId="0" borderId="3" xfId="0" applyNumberFormat="1" applyBorder="1" applyAlignment="1">
      <alignment horizontal="left"/>
    </xf>
    <xf numFmtId="2" fontId="0" fillId="0" borderId="4" xfId="0" applyNumberFormat="1" applyBorder="1" applyAlignment="1">
      <alignment horizontal="left"/>
    </xf>
    <xf numFmtId="2" fontId="0" fillId="0" borderId="5" xfId="0" applyNumberFormat="1" applyBorder="1" applyAlignment="1">
      <alignment horizontal="left"/>
    </xf>
    <xf numFmtId="2" fontId="7" fillId="4" borderId="0" xfId="3" applyNumberFormat="1" applyFont="1" applyBorder="1" applyAlignment="1">
      <alignment horizontal="left"/>
    </xf>
    <xf numFmtId="2" fontId="6" fillId="2" borderId="5" xfId="1" applyNumberFormat="1" applyFont="1" applyBorder="1" applyAlignment="1">
      <alignment horizontal="left"/>
    </xf>
    <xf numFmtId="2" fontId="3" fillId="3" borderId="0" xfId="2" applyNumberFormat="1" applyBorder="1" applyAlignment="1">
      <alignment horizontal="left"/>
    </xf>
    <xf numFmtId="2" fontId="0" fillId="0" borderId="6" xfId="0" applyNumberFormat="1" applyBorder="1" applyAlignment="1">
      <alignment horizontal="left"/>
    </xf>
    <xf numFmtId="2" fontId="0" fillId="0" borderId="7" xfId="0" applyNumberFormat="1" applyBorder="1" applyAlignment="1">
      <alignment horizontal="left"/>
    </xf>
    <xf numFmtId="2" fontId="6" fillId="2" borderId="7" xfId="1" applyNumberFormat="1" applyFont="1" applyBorder="1" applyAlignment="1">
      <alignment horizontal="left"/>
    </xf>
    <xf numFmtId="2" fontId="0" fillId="0" borderId="8" xfId="0" applyNumberFormat="1" applyBorder="1" applyAlignment="1">
      <alignment horizontal="left"/>
    </xf>
    <xf numFmtId="2" fontId="4" fillId="4" borderId="0" xfId="3" applyNumberFormat="1" applyBorder="1" applyAlignment="1">
      <alignment horizontal="left"/>
    </xf>
    <xf numFmtId="2" fontId="1" fillId="0" borderId="0" xfId="0" applyNumberFormat="1" applyFont="1" applyAlignment="1">
      <alignment horizontal="left"/>
    </xf>
    <xf numFmtId="2" fontId="6" fillId="2" borderId="0" xfId="1" applyNumberFormat="1" applyFont="1" applyBorder="1" applyAlignment="1">
      <alignment horizontal="left"/>
    </xf>
    <xf numFmtId="2" fontId="2" fillId="2" borderId="8" xfId="1" applyNumberFormat="1" applyBorder="1" applyAlignment="1">
      <alignment horizontal="left"/>
    </xf>
    <xf numFmtId="2" fontId="2" fillId="0" borderId="0" xfId="1" applyNumberFormat="1" applyFill="1" applyAlignment="1">
      <alignment horizontal="left"/>
    </xf>
    <xf numFmtId="2" fontId="2" fillId="2" borderId="0" xfId="1" applyNumberFormat="1" applyBorder="1" applyAlignment="1">
      <alignment horizontal="left"/>
    </xf>
    <xf numFmtId="2" fontId="2" fillId="2" borderId="7" xfId="1" applyNumberFormat="1" applyBorder="1" applyAlignment="1">
      <alignment horizontal="left"/>
    </xf>
    <xf numFmtId="2" fontId="0" fillId="0" borderId="4" xfId="0" applyNumberFormat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2" fontId="0" fillId="0" borderId="6" xfId="0" applyNumberFormat="1" applyBorder="1" applyAlignment="1">
      <alignment horizontal="left" vertical="center"/>
    </xf>
    <xf numFmtId="2" fontId="0" fillId="0" borderId="7" xfId="0" applyNumberFormat="1" applyBorder="1" applyAlignment="1">
      <alignment horizontal="left" vertical="center"/>
    </xf>
    <xf numFmtId="2" fontId="0" fillId="0" borderId="8" xfId="0" applyNumberFormat="1" applyBorder="1" applyAlignment="1">
      <alignment horizontal="left" vertical="center"/>
    </xf>
    <xf numFmtId="2" fontId="1" fillId="5" borderId="1" xfId="0" applyNumberFormat="1" applyFont="1" applyFill="1" applyBorder="1" applyAlignment="1">
      <alignment horizontal="left" vertical="center"/>
    </xf>
    <xf numFmtId="2" fontId="0" fillId="5" borderId="2" xfId="0" applyNumberFormat="1" applyFill="1" applyBorder="1" applyAlignment="1">
      <alignment horizontal="left" vertical="center"/>
    </xf>
    <xf numFmtId="2" fontId="0" fillId="5" borderId="3" xfId="0" applyNumberFormat="1" applyFill="1" applyBorder="1" applyAlignment="1">
      <alignment horizontal="left" vertical="center"/>
    </xf>
    <xf numFmtId="2" fontId="0" fillId="5" borderId="0" xfId="0" applyNumberFormat="1" applyFill="1" applyAlignment="1">
      <alignment horizontal="left" vertical="center"/>
    </xf>
    <xf numFmtId="2" fontId="0" fillId="5" borderId="5" xfId="0" applyNumberFormat="1" applyFill="1" applyBorder="1" applyAlignment="1">
      <alignment horizontal="left" vertical="center"/>
    </xf>
    <xf numFmtId="2" fontId="1" fillId="5" borderId="4" xfId="0" applyNumberFormat="1" applyFont="1" applyFill="1" applyBorder="1" applyAlignment="1">
      <alignment horizontal="left" vertical="center"/>
    </xf>
    <xf numFmtId="2" fontId="0" fillId="5" borderId="1" xfId="0" applyNumberFormat="1" applyFill="1" applyBorder="1" applyAlignment="1">
      <alignment horizontal="left" vertical="center"/>
    </xf>
    <xf numFmtId="2" fontId="1" fillId="5" borderId="1" xfId="0" applyNumberFormat="1" applyFont="1" applyFill="1" applyBorder="1" applyAlignment="1">
      <alignment horizontal="left"/>
    </xf>
    <xf numFmtId="2" fontId="0" fillId="5" borderId="2" xfId="0" applyNumberFormat="1" applyFill="1" applyBorder="1" applyAlignment="1">
      <alignment horizontal="left"/>
    </xf>
    <xf numFmtId="2" fontId="0" fillId="5" borderId="3" xfId="0" applyNumberFormat="1" applyFill="1" applyBorder="1" applyAlignment="1">
      <alignment horizontal="left"/>
    </xf>
    <xf numFmtId="2" fontId="0" fillId="5" borderId="4" xfId="0" applyNumberFormat="1" applyFill="1" applyBorder="1" applyAlignment="1">
      <alignment horizontal="left"/>
    </xf>
    <xf numFmtId="2" fontId="0" fillId="5" borderId="0" xfId="0" applyNumberFormat="1" applyFill="1" applyAlignment="1">
      <alignment horizontal="left"/>
    </xf>
    <xf numFmtId="2" fontId="0" fillId="5" borderId="5" xfId="0" applyNumberFormat="1" applyFill="1" applyBorder="1" applyAlignment="1">
      <alignment horizontal="left"/>
    </xf>
    <xf numFmtId="2" fontId="0" fillId="5" borderId="1" xfId="0" applyNumberFormat="1" applyFill="1" applyBorder="1" applyAlignment="1">
      <alignment horizontal="left"/>
    </xf>
    <xf numFmtId="164" fontId="0" fillId="5" borderId="2" xfId="0" applyNumberFormat="1" applyFill="1" applyBorder="1" applyAlignment="1">
      <alignment horizontal="left"/>
    </xf>
    <xf numFmtId="164" fontId="0" fillId="5" borderId="3" xfId="0" applyNumberFormat="1" applyFill="1" applyBorder="1" applyAlignment="1">
      <alignment horizontal="left"/>
    </xf>
    <xf numFmtId="164" fontId="0" fillId="5" borderId="1" xfId="0" applyNumberFormat="1" applyFill="1" applyBorder="1" applyAlignment="1">
      <alignment horizontal="left"/>
    </xf>
    <xf numFmtId="164" fontId="0" fillId="5" borderId="4" xfId="2" applyNumberFormat="1" applyFont="1" applyFill="1" applyBorder="1" applyAlignment="1">
      <alignment horizontal="left"/>
    </xf>
    <xf numFmtId="164" fontId="0" fillId="5" borderId="6" xfId="0" applyNumberFormat="1" applyFill="1" applyBorder="1" applyAlignment="1">
      <alignment horizontal="left"/>
    </xf>
    <xf numFmtId="164" fontId="0" fillId="5" borderId="1" xfId="2" applyNumberFormat="1" applyFont="1" applyFill="1" applyBorder="1" applyAlignment="1">
      <alignment horizontal="left"/>
    </xf>
    <xf numFmtId="164" fontId="0" fillId="5" borderId="6" xfId="2" applyNumberFormat="1" applyFont="1" applyFill="1" applyBorder="1" applyAlignment="1">
      <alignment horizontal="left"/>
    </xf>
    <xf numFmtId="2" fontId="0" fillId="5" borderId="6" xfId="0" applyNumberFormat="1" applyFill="1" applyBorder="1" applyAlignment="1">
      <alignment horizontal="left"/>
    </xf>
    <xf numFmtId="2" fontId="0" fillId="5" borderId="4" xfId="0" applyNumberFormat="1" applyFill="1" applyBorder="1" applyAlignment="1">
      <alignment horizontal="left" vertical="center"/>
    </xf>
    <xf numFmtId="2" fontId="1" fillId="5" borderId="2" xfId="0" applyNumberFormat="1" applyFont="1" applyFill="1" applyBorder="1" applyAlignment="1">
      <alignment horizontal="left" vertical="center"/>
    </xf>
    <xf numFmtId="2" fontId="1" fillId="5" borderId="3" xfId="0" applyNumberFormat="1" applyFont="1" applyFill="1" applyBorder="1" applyAlignment="1">
      <alignment horizontal="left" vertical="center"/>
    </xf>
    <xf numFmtId="2" fontId="1" fillId="5" borderId="0" xfId="0" applyNumberFormat="1" applyFont="1" applyFill="1" applyAlignment="1">
      <alignment horizontal="left" vertical="center"/>
    </xf>
    <xf numFmtId="2" fontId="1" fillId="5" borderId="5" xfId="0" applyNumberFormat="1" applyFont="1" applyFill="1" applyBorder="1" applyAlignment="1">
      <alignment horizontal="left" vertical="center"/>
    </xf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81BB-2797-4358-99E1-88AB5C843944}">
  <dimension ref="A1:P18"/>
  <sheetViews>
    <sheetView topLeftCell="B1" zoomScale="130" zoomScaleNormal="130" workbookViewId="0">
      <selection activeCell="N5" sqref="N5"/>
    </sheetView>
  </sheetViews>
  <sheetFormatPr defaultColWidth="11.42578125" defaultRowHeight="15" x14ac:dyDescent="0.25"/>
  <cols>
    <col min="1" max="1" width="12.42578125" style="1" customWidth="1"/>
    <col min="2" max="2" width="10.28515625" style="1" bestFit="1" customWidth="1"/>
    <col min="3" max="3" width="14.140625" style="1" bestFit="1" customWidth="1"/>
    <col min="4" max="4" width="13.28515625" style="1" bestFit="1" customWidth="1"/>
    <col min="5" max="5" width="10.5703125" style="1" bestFit="1" customWidth="1"/>
    <col min="6" max="7" width="12.7109375" style="1" bestFit="1" customWidth="1"/>
    <col min="8" max="8" width="13.140625" style="1" bestFit="1" customWidth="1"/>
    <col min="9" max="9" width="15.5703125" style="1" bestFit="1" customWidth="1"/>
    <col min="10" max="10" width="10.7109375" style="1" bestFit="1" customWidth="1"/>
    <col min="11" max="11" width="15.5703125" style="1" bestFit="1" customWidth="1"/>
    <col min="12" max="12" width="20.28515625" style="1" bestFit="1" customWidth="1"/>
    <col min="13" max="13" width="17.5703125" style="1" bestFit="1" customWidth="1"/>
    <col min="14" max="14" width="6.28515625" style="1" bestFit="1" customWidth="1"/>
    <col min="15" max="15" width="11.42578125" style="1"/>
    <col min="16" max="16" width="12" style="1" bestFit="1" customWidth="1"/>
    <col min="17" max="16384" width="11.42578125" style="1"/>
  </cols>
  <sheetData>
    <row r="1" spans="1:16" x14ac:dyDescent="0.25">
      <c r="A1" s="1" t="s">
        <v>0</v>
      </c>
      <c r="B1" s="60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8" t="s">
        <v>6</v>
      </c>
      <c r="H1" s="58" t="s">
        <v>25</v>
      </c>
      <c r="I1" s="58" t="s">
        <v>26</v>
      </c>
      <c r="J1" s="58" t="s">
        <v>29</v>
      </c>
      <c r="K1" s="58" t="s">
        <v>27</v>
      </c>
      <c r="L1" s="58" t="s">
        <v>32</v>
      </c>
      <c r="M1" s="58" t="s">
        <v>31</v>
      </c>
      <c r="N1" s="59"/>
    </row>
    <row r="2" spans="1:16" x14ac:dyDescent="0.25">
      <c r="A2" s="1" t="s">
        <v>8</v>
      </c>
      <c r="B2" s="61">
        <v>25</v>
      </c>
      <c r="C2" s="1">
        <v>1</v>
      </c>
      <c r="D2" s="1">
        <v>1</v>
      </c>
      <c r="E2" s="1">
        <v>5.5844999999999999E-2</v>
      </c>
      <c r="F2" s="1">
        <v>0</v>
      </c>
      <c r="H2" s="1">
        <v>0</v>
      </c>
      <c r="I2" s="9">
        <v>172.85079999999999</v>
      </c>
      <c r="J2" s="1">
        <v>0</v>
      </c>
      <c r="K2" s="1">
        <v>0</v>
      </c>
      <c r="L2" s="1">
        <v>0</v>
      </c>
      <c r="M2" s="10">
        <v>374.3</v>
      </c>
      <c r="N2" s="11" t="s">
        <v>54</v>
      </c>
    </row>
    <row r="3" spans="1:16" x14ac:dyDescent="0.25">
      <c r="A3" s="1" t="s">
        <v>10</v>
      </c>
      <c r="B3" s="61">
        <v>25</v>
      </c>
      <c r="C3" s="1">
        <v>1</v>
      </c>
      <c r="D3" s="1">
        <v>1</v>
      </c>
      <c r="E3" s="1">
        <v>3.1998800000000001E-2</v>
      </c>
      <c r="F3" s="1">
        <v>22.414000000000001</v>
      </c>
      <c r="H3" s="1">
        <v>0</v>
      </c>
      <c r="I3" s="9">
        <v>205.0376</v>
      </c>
      <c r="J3" s="1">
        <v>0</v>
      </c>
      <c r="K3" s="1">
        <v>0</v>
      </c>
      <c r="L3" s="1">
        <v>0</v>
      </c>
      <c r="M3" s="10">
        <v>3.8679999999999999</v>
      </c>
      <c r="N3" s="11" t="s">
        <v>55</v>
      </c>
    </row>
    <row r="4" spans="1:16" x14ac:dyDescent="0.25">
      <c r="A4" s="1" t="s">
        <v>30</v>
      </c>
      <c r="B4" s="61">
        <v>25</v>
      </c>
      <c r="C4" s="1">
        <v>1</v>
      </c>
      <c r="D4" s="1">
        <v>1</v>
      </c>
      <c r="E4" s="1">
        <f>E8-E3</f>
        <v>2.8085499999999999E-2</v>
      </c>
      <c r="F4" s="1">
        <v>0</v>
      </c>
      <c r="H4" s="1">
        <v>0</v>
      </c>
      <c r="I4" s="9">
        <v>18.82</v>
      </c>
      <c r="J4" s="1">
        <v>0</v>
      </c>
      <c r="L4" s="1">
        <v>0</v>
      </c>
      <c r="M4" s="10">
        <v>855</v>
      </c>
      <c r="N4" s="11" t="s">
        <v>56</v>
      </c>
    </row>
    <row r="5" spans="1:16" x14ac:dyDescent="0.25">
      <c r="A5" s="1" t="s">
        <v>24</v>
      </c>
      <c r="B5" s="61">
        <v>25</v>
      </c>
      <c r="C5" s="1">
        <v>1</v>
      </c>
      <c r="D5" s="1">
        <v>1</v>
      </c>
      <c r="E5" s="1">
        <v>7.1844000000000005E-2</v>
      </c>
      <c r="F5" s="1">
        <v>0</v>
      </c>
      <c r="H5" s="1">
        <v>-265832.2</v>
      </c>
      <c r="I5" s="1">
        <v>59.495800000000003</v>
      </c>
      <c r="J5" s="12">
        <f>(H5-298.15*(I5-I2-0.5*I3))/1000</f>
        <v>-201.46942653000002</v>
      </c>
      <c r="K5" s="1">
        <v>0</v>
      </c>
      <c r="L5" s="12">
        <f>J5</f>
        <v>-201.46942653000002</v>
      </c>
      <c r="M5" s="13">
        <f>M2+0.5*M3+J5</f>
        <v>174.76457347000002</v>
      </c>
      <c r="N5" s="11" t="s">
        <v>110</v>
      </c>
    </row>
    <row r="6" spans="1:16" x14ac:dyDescent="0.25">
      <c r="A6" s="1" t="s">
        <v>22</v>
      </c>
      <c r="B6" s="61">
        <v>25</v>
      </c>
      <c r="C6" s="1">
        <v>1</v>
      </c>
      <c r="D6" s="1">
        <v>1</v>
      </c>
      <c r="E6" s="1">
        <v>0.23153260000000001</v>
      </c>
      <c r="F6" s="1">
        <v>0</v>
      </c>
      <c r="H6" s="1">
        <v>-1117403</v>
      </c>
      <c r="I6" s="1">
        <v>146.11420000000001</v>
      </c>
      <c r="J6" s="12">
        <f>(H6-298.15*(I6-3*I2-1.5*I3))/1000</f>
        <v>-914.66261000999998</v>
      </c>
      <c r="K6" s="1">
        <v>0</v>
      </c>
      <c r="L6" s="12">
        <f>J6</f>
        <v>-914.66261000999998</v>
      </c>
      <c r="M6" s="13">
        <f>3*M2+2*M3+J6</f>
        <v>215.97338999000021</v>
      </c>
      <c r="N6" s="14"/>
    </row>
    <row r="7" spans="1:16" x14ac:dyDescent="0.25">
      <c r="A7" s="1" t="s">
        <v>11</v>
      </c>
      <c r="B7" s="61">
        <v>25</v>
      </c>
      <c r="C7" s="1">
        <v>1</v>
      </c>
      <c r="D7" s="1">
        <v>1</v>
      </c>
      <c r="E7" s="1">
        <v>0.1596882</v>
      </c>
      <c r="F7" s="1">
        <v>0</v>
      </c>
      <c r="H7" s="1">
        <v>-825787</v>
      </c>
      <c r="I7" s="1">
        <v>87.728549999999998</v>
      </c>
      <c r="J7" s="12">
        <f>(H7-298.15*(I7-2*I2-1.5*I3))/1000</f>
        <v>-657.17439448250002</v>
      </c>
      <c r="K7" s="1">
        <v>0</v>
      </c>
      <c r="L7" s="12">
        <f>J7</f>
        <v>-657.17439448250002</v>
      </c>
      <c r="M7" s="13">
        <f>2*M2+1.5*M3+J7</f>
        <v>97.227605517500024</v>
      </c>
      <c r="N7" s="14"/>
    </row>
    <row r="8" spans="1:16" x14ac:dyDescent="0.25">
      <c r="A8" s="1" t="s">
        <v>42</v>
      </c>
      <c r="B8" s="61">
        <v>25</v>
      </c>
      <c r="C8" s="1">
        <v>1</v>
      </c>
      <c r="D8" s="1">
        <v>1</v>
      </c>
      <c r="E8" s="1">
        <v>6.00843E-2</v>
      </c>
      <c r="F8" s="1">
        <v>0</v>
      </c>
      <c r="H8" s="1">
        <v>-910699.9</v>
      </c>
      <c r="I8" s="1">
        <v>41.46</v>
      </c>
      <c r="J8" s="12">
        <f>(H8-298.15*(I8-I4-I3))/1000</f>
        <v>-856.31805556000006</v>
      </c>
      <c r="K8" s="1">
        <v>0</v>
      </c>
      <c r="L8" s="12">
        <f>J8</f>
        <v>-856.31805556000006</v>
      </c>
      <c r="M8" s="13">
        <f>M4+M3+J8</f>
        <v>2.5499444399999902</v>
      </c>
      <c r="N8" s="14"/>
      <c r="O8" s="1" t="s">
        <v>58</v>
      </c>
      <c r="P8" s="1">
        <f>M2*2+M3*Out!D2+M8</f>
        <v>755.06977563999999</v>
      </c>
    </row>
    <row r="9" spans="1:16" ht="15.75" thickBot="1" x14ac:dyDescent="0.3">
      <c r="B9" s="62"/>
      <c r="C9" s="15"/>
      <c r="D9" s="15"/>
      <c r="E9" s="15"/>
      <c r="F9" s="15"/>
      <c r="G9" s="15"/>
      <c r="H9" s="15">
        <f>-(H8-Out!D8)/1000</f>
        <v>671.37860000000012</v>
      </c>
      <c r="I9" s="15"/>
      <c r="J9" s="15"/>
      <c r="K9" s="15"/>
      <c r="L9" s="15"/>
      <c r="M9" s="15"/>
      <c r="N9" s="16"/>
      <c r="P9" s="1">
        <f>M2*2+M3*Out!D3+M8-Out!D8</f>
        <v>240079.97823283999</v>
      </c>
    </row>
    <row r="11" spans="1:16" ht="15.75" thickBot="1" x14ac:dyDescent="0.3"/>
    <row r="12" spans="1:16" x14ac:dyDescent="0.25">
      <c r="A12" s="1" t="s">
        <v>28</v>
      </c>
      <c r="B12" s="63">
        <v>1250</v>
      </c>
      <c r="C12" s="7">
        <v>1</v>
      </c>
      <c r="D12" s="7">
        <v>1</v>
      </c>
      <c r="E12" s="7">
        <v>0.23153260000000001</v>
      </c>
      <c r="F12" s="7">
        <v>0</v>
      </c>
      <c r="G12" s="7"/>
      <c r="H12" s="7">
        <v>-863931.4</v>
      </c>
      <c r="I12" s="7">
        <v>474.54140000000001</v>
      </c>
      <c r="J12" s="7"/>
      <c r="K12" s="17">
        <f>((H12-H6)-298.15*(I12-I6))/1000</f>
        <v>155.55103032</v>
      </c>
      <c r="L12" s="7">
        <v>0</v>
      </c>
      <c r="M12" s="18">
        <f>M6+K12</f>
        <v>371.52442031000021</v>
      </c>
      <c r="N12" s="8"/>
    </row>
    <row r="13" spans="1:16" x14ac:dyDescent="0.25">
      <c r="A13" s="1" t="s">
        <v>12</v>
      </c>
      <c r="B13" s="61">
        <v>1250</v>
      </c>
      <c r="C13" s="1">
        <v>1</v>
      </c>
      <c r="D13" s="1">
        <v>1</v>
      </c>
      <c r="E13" s="1">
        <v>7.1844000000000005E-2</v>
      </c>
      <c r="F13" s="1">
        <v>0</v>
      </c>
      <c r="H13" s="1">
        <v>-163584.9</v>
      </c>
      <c r="I13" s="1">
        <v>169.79140000000001</v>
      </c>
      <c r="K13" s="12">
        <f>((H13-H5)-298.15*(I13-I5))/1000</f>
        <v>69.362666860000033</v>
      </c>
      <c r="L13" s="1">
        <v>0</v>
      </c>
      <c r="M13" s="13">
        <f>M5+K13</f>
        <v>244.12724033000006</v>
      </c>
      <c r="N13" s="14"/>
    </row>
    <row r="14" spans="1:16" x14ac:dyDescent="0.25">
      <c r="A14" s="1" t="s">
        <v>24</v>
      </c>
      <c r="B14" s="61">
        <v>1250</v>
      </c>
      <c r="C14" s="1">
        <v>1</v>
      </c>
      <c r="D14" s="1">
        <v>1</v>
      </c>
      <c r="E14" s="1">
        <v>7.1844000000000005E-2</v>
      </c>
      <c r="F14" s="1">
        <v>0</v>
      </c>
      <c r="H14" s="1">
        <v>-195280.3</v>
      </c>
      <c r="I14" s="1">
        <v>150.82169999999999</v>
      </c>
      <c r="K14" s="12">
        <f>((H14-H5)-298.15*(I14-I5))/1000</f>
        <v>43.323082915000029</v>
      </c>
      <c r="L14" s="1">
        <v>0</v>
      </c>
      <c r="M14" s="13">
        <f>M5+K14</f>
        <v>218.08765638500006</v>
      </c>
      <c r="N14" s="14"/>
    </row>
    <row r="15" spans="1:16" x14ac:dyDescent="0.25">
      <c r="A15" s="1" t="s">
        <v>13</v>
      </c>
      <c r="B15" s="61">
        <v>1250</v>
      </c>
      <c r="C15" s="1">
        <v>1</v>
      </c>
      <c r="D15" s="1">
        <v>1</v>
      </c>
      <c r="E15" s="1">
        <v>0.1596882</v>
      </c>
      <c r="F15" s="1">
        <v>0</v>
      </c>
      <c r="H15" s="1">
        <v>-578022.40000000002</v>
      </c>
      <c r="I15" s="1">
        <v>350.4896</v>
      </c>
      <c r="K15" s="12">
        <f>((H15-H7)-298.15*(I15-I7))/1000</f>
        <v>169.42239294249998</v>
      </c>
      <c r="L15" s="1">
        <v>0</v>
      </c>
      <c r="M15" s="13">
        <f>M7+K15</f>
        <v>266.64999846000001</v>
      </c>
      <c r="N15" s="14"/>
    </row>
    <row r="16" spans="1:16" x14ac:dyDescent="0.25">
      <c r="A16" s="1" t="s">
        <v>45</v>
      </c>
      <c r="B16" s="61">
        <v>1250</v>
      </c>
      <c r="C16" s="1">
        <v>1</v>
      </c>
      <c r="D16" s="1">
        <v>1</v>
      </c>
      <c r="E16" s="1">
        <v>0.1596882</v>
      </c>
      <c r="F16" s="1">
        <v>0</v>
      </c>
      <c r="H16" s="1">
        <v>-651177.5</v>
      </c>
      <c r="I16" s="1">
        <v>313.35120000000001</v>
      </c>
      <c r="K16" s="12">
        <f>((H16-H7)-298.15*(I16-I7))/1000</f>
        <v>107.3401069025</v>
      </c>
      <c r="L16" s="1">
        <v>0</v>
      </c>
      <c r="M16" s="13">
        <f>M7+K16</f>
        <v>204.56771242000002</v>
      </c>
      <c r="N16" s="14"/>
    </row>
    <row r="17" spans="1:16" x14ac:dyDescent="0.25">
      <c r="A17" s="1" t="s">
        <v>14</v>
      </c>
      <c r="B17" s="61">
        <v>1250</v>
      </c>
      <c r="C17" s="1">
        <v>1</v>
      </c>
      <c r="D17" s="1">
        <v>1</v>
      </c>
      <c r="E17" s="1">
        <v>6.00843E-2</v>
      </c>
      <c r="F17" s="1">
        <v>0</v>
      </c>
      <c r="H17" s="1">
        <v>-815907.1</v>
      </c>
      <c r="I17" s="1">
        <v>153.05080000000001</v>
      </c>
      <c r="K17" s="12">
        <f>((H17-H8)-298.15*(I17-I8))/1000</f>
        <v>61.522002980000046</v>
      </c>
      <c r="L17" s="1">
        <v>0</v>
      </c>
      <c r="M17" s="13">
        <f>M8+K17</f>
        <v>64.071947420000043</v>
      </c>
      <c r="N17" s="14"/>
    </row>
    <row r="18" spans="1:16" ht="15.75" thickBot="1" x14ac:dyDescent="0.3">
      <c r="A18" s="1" t="s">
        <v>23</v>
      </c>
      <c r="B18" s="64">
        <v>1250</v>
      </c>
      <c r="C18" s="15">
        <v>1</v>
      </c>
      <c r="D18" s="15">
        <v>1</v>
      </c>
      <c r="E18" s="15">
        <v>6.00843E-2</v>
      </c>
      <c r="F18" s="15">
        <v>0</v>
      </c>
      <c r="G18" s="15"/>
      <c r="H18" s="15">
        <v>-825602.1</v>
      </c>
      <c r="I18" s="15">
        <v>148.1848</v>
      </c>
      <c r="J18" s="15"/>
      <c r="K18" s="19">
        <f>((H18-H8)-298.15*(I18-I8))/1000</f>
        <v>53.277800880000051</v>
      </c>
      <c r="L18" s="15">
        <v>0</v>
      </c>
      <c r="M18" s="20">
        <f>M8+K18</f>
        <v>55.827745320000041</v>
      </c>
      <c r="N18" s="16"/>
      <c r="O18" s="1" t="s">
        <v>58</v>
      </c>
      <c r="P18" s="1">
        <f>Out!L6</f>
        <v>540.4799222889726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A5ED8-2793-4A7F-8040-3B208F085F56}">
  <dimension ref="A1:R119"/>
  <sheetViews>
    <sheetView workbookViewId="0"/>
  </sheetViews>
  <sheetFormatPr defaultColWidth="11.42578125" defaultRowHeight="15" x14ac:dyDescent="0.25"/>
  <cols>
    <col min="1" max="1" width="13.140625" style="2" customWidth="1"/>
    <col min="2" max="2" width="12.85546875" style="2" customWidth="1"/>
    <col min="3" max="3" width="13" style="2" customWidth="1"/>
    <col min="4" max="4" width="13.85546875" style="2" customWidth="1"/>
    <col min="5" max="5" width="12" style="2" customWidth="1"/>
    <col min="6" max="6" width="14" style="2" customWidth="1"/>
    <col min="7" max="7" width="13.7109375" style="2" customWidth="1"/>
    <col min="8" max="9" width="11.7109375" style="2" bestFit="1" customWidth="1"/>
    <col min="10" max="10" width="16.140625" style="2" customWidth="1"/>
    <col min="11" max="11" width="12.85546875" style="2" bestFit="1" customWidth="1"/>
    <col min="12" max="12" width="13.7109375" style="2" bestFit="1" customWidth="1"/>
    <col min="13" max="13" width="39.85546875" style="2" bestFit="1" customWidth="1"/>
    <col min="14" max="14" width="11.42578125" style="2"/>
    <col min="15" max="15" width="12" style="2" bestFit="1" customWidth="1"/>
    <col min="16" max="16" width="16" style="5" bestFit="1" customWidth="1"/>
    <col min="17" max="17" width="21.7109375" style="5" bestFit="1" customWidth="1"/>
    <col min="18" max="18" width="16.140625" style="5" bestFit="1" customWidth="1"/>
    <col min="19" max="16384" width="11.42578125" style="2"/>
  </cols>
  <sheetData>
    <row r="1" spans="1:13" x14ac:dyDescent="0.25">
      <c r="A1" s="57" t="s">
        <v>17</v>
      </c>
      <c r="B1" s="52" t="s">
        <v>1</v>
      </c>
      <c r="C1" s="52" t="s">
        <v>2</v>
      </c>
      <c r="D1" s="52" t="s">
        <v>3</v>
      </c>
      <c r="E1" s="52" t="s">
        <v>4</v>
      </c>
      <c r="F1" s="52" t="s">
        <v>5</v>
      </c>
      <c r="G1" s="52" t="s">
        <v>6</v>
      </c>
      <c r="H1" s="52" t="s">
        <v>9</v>
      </c>
      <c r="I1" s="52" t="s">
        <v>18</v>
      </c>
      <c r="J1" s="52"/>
      <c r="K1" s="52"/>
      <c r="L1" s="52" t="s">
        <v>7</v>
      </c>
      <c r="M1" s="53" t="s">
        <v>52</v>
      </c>
    </row>
    <row r="2" spans="1:13" x14ac:dyDescent="0.25">
      <c r="A2" s="54" t="s">
        <v>10</v>
      </c>
      <c r="B2" s="2">
        <v>1250</v>
      </c>
      <c r="C2" s="2">
        <f>LOG(0.00000000001)</f>
        <v>-11</v>
      </c>
      <c r="D2" s="2">
        <v>1.0134000000000001</v>
      </c>
      <c r="M2" s="24"/>
    </row>
    <row r="3" spans="1:13" x14ac:dyDescent="0.25">
      <c r="A3" s="54" t="s">
        <v>12</v>
      </c>
      <c r="B3" s="2">
        <v>1250</v>
      </c>
      <c r="C3" s="2">
        <v>1</v>
      </c>
      <c r="D3" s="2">
        <v>1.9462999999999999</v>
      </c>
      <c r="F3" s="2">
        <v>0</v>
      </c>
      <c r="I3" s="2">
        <v>0.51715999999999995</v>
      </c>
      <c r="L3" s="2">
        <f>Out!D3*(In!M13+8.31451*(298.15)*LN(Out!I3)/1000)</f>
        <v>471.96334616447103</v>
      </c>
      <c r="M3" s="24">
        <f>Out!D3*(In!$M$14+8.31451*(298.15)*LN(Out!I3)/1000)</f>
        <v>421.28250393231758</v>
      </c>
    </row>
    <row r="4" spans="1:13" x14ac:dyDescent="0.25">
      <c r="A4" s="54" t="s">
        <v>13</v>
      </c>
      <c r="B4" s="2">
        <v>1250</v>
      </c>
      <c r="C4" s="2">
        <v>1</v>
      </c>
      <c r="D4" s="2">
        <v>2.6827E-2</v>
      </c>
      <c r="F4" s="2">
        <v>0</v>
      </c>
      <c r="I4" s="2">
        <v>1.1441000000000001E-3</v>
      </c>
      <c r="L4" s="2">
        <f>Out!D4*(In!M15+8.31451*(298.15)*LN(Out!I4)/1000)</f>
        <v>6.702983147272592</v>
      </c>
      <c r="M4" s="24">
        <f>Out!D4*(In!$M$16+8.31451*(298.15)*LN(Out!I4)/1000)</f>
        <v>5.0375016596775124</v>
      </c>
    </row>
    <row r="5" spans="1:13" x14ac:dyDescent="0.25">
      <c r="A5" s="54" t="s">
        <v>14</v>
      </c>
      <c r="B5" s="2">
        <v>1250</v>
      </c>
      <c r="C5" s="2">
        <v>1</v>
      </c>
      <c r="D5" s="2">
        <v>1</v>
      </c>
      <c r="F5" s="2">
        <v>0</v>
      </c>
      <c r="I5" s="2">
        <v>0.40211999999999998</v>
      </c>
      <c r="L5" s="2">
        <f>Out!D5*(In!M17+8.31451*(298.15)*LN(Out!I5)/1000)</f>
        <v>61.81359297722895</v>
      </c>
      <c r="M5" s="24">
        <f>Out!D5*(In!$M$18+8.31451*(298.15)*LN(Out!I5)/1000)</f>
        <v>53.569390877228948</v>
      </c>
    </row>
    <row r="6" spans="1:13" x14ac:dyDescent="0.25">
      <c r="A6" s="54" t="s">
        <v>15</v>
      </c>
      <c r="B6" s="2">
        <v>1250</v>
      </c>
      <c r="C6" s="2">
        <v>1</v>
      </c>
      <c r="D6" s="2">
        <v>0</v>
      </c>
      <c r="F6" s="2">
        <v>0</v>
      </c>
      <c r="I6" s="2">
        <v>1</v>
      </c>
      <c r="L6" s="25">
        <f>SUM(L3:L5)</f>
        <v>540.4799222889726</v>
      </c>
      <c r="M6" s="26">
        <f>SUM(M3:M5)</f>
        <v>479.88939646922404</v>
      </c>
    </row>
    <row r="7" spans="1:13" x14ac:dyDescent="0.25">
      <c r="A7" s="54" t="s">
        <v>16</v>
      </c>
      <c r="B7" s="2">
        <v>1250</v>
      </c>
      <c r="C7" s="2">
        <v>1</v>
      </c>
      <c r="D7" s="2">
        <v>0</v>
      </c>
      <c r="F7" s="2">
        <v>0</v>
      </c>
      <c r="I7" s="2">
        <v>1</v>
      </c>
      <c r="M7" s="24"/>
    </row>
    <row r="8" spans="1:13" x14ac:dyDescent="0.25">
      <c r="A8" s="23"/>
      <c r="B8" s="2" t="s">
        <v>20</v>
      </c>
      <c r="C8" s="2" t="s">
        <v>48</v>
      </c>
      <c r="D8" s="2">
        <v>-239321.3</v>
      </c>
      <c r="E8" s="2" t="s">
        <v>49</v>
      </c>
      <c r="F8" s="2">
        <v>208.73429999999999</v>
      </c>
      <c r="G8" s="2" t="s">
        <v>43</v>
      </c>
      <c r="L8" s="27">
        <f>(D8-298.15*F8)/1000</f>
        <v>-301.55543154499998</v>
      </c>
      <c r="M8" s="24"/>
    </row>
    <row r="9" spans="1:13" x14ac:dyDescent="0.25">
      <c r="A9" s="23"/>
      <c r="C9" s="2" t="s">
        <v>48</v>
      </c>
      <c r="D9" s="2">
        <v>-1150021</v>
      </c>
      <c r="E9" s="2" t="s">
        <v>49</v>
      </c>
      <c r="F9" s="2">
        <v>512.54150000000004</v>
      </c>
      <c r="M9" s="24"/>
    </row>
    <row r="10" spans="1:13" ht="15.75" thickBot="1" x14ac:dyDescent="0.3">
      <c r="A10" s="28"/>
      <c r="B10" s="29"/>
      <c r="C10" s="29" t="s">
        <v>46</v>
      </c>
      <c r="D10" s="29">
        <f>K110</f>
        <v>-1477044</v>
      </c>
      <c r="E10" s="29" t="s">
        <v>47</v>
      </c>
      <c r="F10" s="29">
        <f>L110</f>
        <v>129.1737</v>
      </c>
      <c r="G10" s="29"/>
      <c r="H10" s="29"/>
      <c r="I10" s="29"/>
      <c r="J10" s="29"/>
      <c r="K10" s="29"/>
      <c r="L10" s="30">
        <f>(G110*In!M2+H110*In!M6+In!M8 )+((D9-D10)-298.15*(F9-F10))/1000</f>
        <v>504.33212157793309</v>
      </c>
      <c r="M10" s="31"/>
    </row>
    <row r="11" spans="1:13" ht="15.75" thickBot="1" x14ac:dyDescent="0.3"/>
    <row r="12" spans="1:13" x14ac:dyDescent="0.25">
      <c r="A12" s="57" t="s">
        <v>10</v>
      </c>
      <c r="B12" s="21">
        <v>1250</v>
      </c>
      <c r="C12" s="21">
        <f>LOG(0.0000000001)</f>
        <v>-10</v>
      </c>
      <c r="D12" s="21">
        <v>1.0226999999999999</v>
      </c>
      <c r="E12" s="21"/>
      <c r="F12" s="21"/>
      <c r="G12" s="21"/>
      <c r="H12" s="21"/>
      <c r="I12" s="21"/>
      <c r="J12" s="21"/>
      <c r="K12" s="21"/>
      <c r="L12" s="21"/>
      <c r="M12" s="22"/>
    </row>
    <row r="13" spans="1:13" x14ac:dyDescent="0.25">
      <c r="A13" s="54" t="s">
        <v>12</v>
      </c>
      <c r="B13" s="2">
        <v>1250</v>
      </c>
      <c r="C13" s="2">
        <v>1</v>
      </c>
      <c r="D13" s="2">
        <v>1.909</v>
      </c>
      <c r="F13" s="2">
        <v>0</v>
      </c>
      <c r="I13" s="2">
        <v>0.48849999999999999</v>
      </c>
      <c r="L13" s="2">
        <f>Out!D13*(In!M13-8.31451*298.15*LN(I13)/1000)</f>
        <v>469.42923639049349</v>
      </c>
      <c r="M13" s="24">
        <f>Out!D13*(In!$M$14-8.31451*298.15*LN(Out!I13)/1000)</f>
        <v>419.71967063948847</v>
      </c>
    </row>
    <row r="14" spans="1:13" x14ac:dyDescent="0.25">
      <c r="A14" s="54" t="s">
        <v>13</v>
      </c>
      <c r="B14" s="2">
        <v>1250</v>
      </c>
      <c r="C14" s="2">
        <v>1</v>
      </c>
      <c r="D14" s="2">
        <v>4.5492999999999999E-2</v>
      </c>
      <c r="F14" s="2">
        <v>0</v>
      </c>
      <c r="I14" s="2">
        <v>3.2279000000000001E-3</v>
      </c>
      <c r="L14" s="2">
        <f>Out!D14*(Out!M15-8.31451*298.15*LN(Out!I14)/1000)</f>
        <v>3.2811186957706329</v>
      </c>
      <c r="M14" s="24">
        <f>Out!D14*(In!$M$16-8.31451*298.15*LN(Out!I14)/1000)</f>
        <v>9.9532725032153664</v>
      </c>
    </row>
    <row r="15" spans="1:13" x14ac:dyDescent="0.25">
      <c r="A15" s="54" t="s">
        <v>14</v>
      </c>
      <c r="B15" s="2">
        <v>1250</v>
      </c>
      <c r="C15" s="2">
        <v>1</v>
      </c>
      <c r="D15" s="2">
        <v>1</v>
      </c>
      <c r="F15" s="2">
        <v>0</v>
      </c>
      <c r="I15" s="2">
        <v>0.43269999999999997</v>
      </c>
      <c r="L15" s="2">
        <f>Out!D15*(In!M17-8.31451*298.15*LN(Out!I15)/1000)</f>
        <v>66.148607913604906</v>
      </c>
      <c r="M15" s="24">
        <f>Out!D15*(In!$M$18-8.31451*298.15*LN(Out!I15)/1000)</f>
        <v>57.904405813604903</v>
      </c>
    </row>
    <row r="16" spans="1:13" x14ac:dyDescent="0.25">
      <c r="A16" s="54" t="s">
        <v>15</v>
      </c>
      <c r="B16" s="2">
        <v>1250</v>
      </c>
      <c r="C16" s="2">
        <v>1</v>
      </c>
      <c r="D16" s="2">
        <v>0</v>
      </c>
      <c r="F16" s="2">
        <v>0</v>
      </c>
      <c r="I16" s="2">
        <v>1</v>
      </c>
      <c r="L16" s="32">
        <f>SUM(L13:L15)</f>
        <v>538.85896299986905</v>
      </c>
      <c r="M16" s="26">
        <f>SUM(M13:M15)</f>
        <v>487.57734895630875</v>
      </c>
    </row>
    <row r="17" spans="1:18" x14ac:dyDescent="0.25">
      <c r="A17" s="54" t="s">
        <v>16</v>
      </c>
      <c r="B17" s="2">
        <v>1250</v>
      </c>
      <c r="C17" s="2">
        <v>1</v>
      </c>
      <c r="D17" s="2">
        <v>0</v>
      </c>
      <c r="F17" s="2">
        <v>0</v>
      </c>
      <c r="I17" s="2">
        <v>1</v>
      </c>
      <c r="M17" s="24"/>
    </row>
    <row r="18" spans="1:18" x14ac:dyDescent="0.25">
      <c r="A18" s="23"/>
      <c r="B18" s="2" t="s">
        <v>20</v>
      </c>
      <c r="C18" s="2" t="s">
        <v>48</v>
      </c>
      <c r="D18" s="2">
        <v>-244160.5</v>
      </c>
      <c r="E18" s="2" t="s">
        <v>49</v>
      </c>
      <c r="F18" s="2">
        <v>207.6712</v>
      </c>
      <c r="G18" s="2" t="s">
        <v>44</v>
      </c>
      <c r="L18" s="27">
        <f>(D18-298.15*F18)/1000</f>
        <v>-306.07766828000001</v>
      </c>
      <c r="M18" s="24"/>
    </row>
    <row r="19" spans="1:18" x14ac:dyDescent="0.25">
      <c r="A19" s="23"/>
      <c r="C19" s="2" t="s">
        <v>48</v>
      </c>
      <c r="D19" s="2">
        <v>-1154861</v>
      </c>
      <c r="E19" s="2" t="s">
        <v>49</v>
      </c>
      <c r="F19" s="2">
        <v>513.39200000000005</v>
      </c>
      <c r="M19" s="24"/>
    </row>
    <row r="20" spans="1:18" ht="15.75" thickBot="1" x14ac:dyDescent="0.3">
      <c r="A20" s="28"/>
      <c r="B20" s="29"/>
      <c r="C20" s="29" t="s">
        <v>50</v>
      </c>
      <c r="D20" s="29">
        <f>K111</f>
        <v>-1482242</v>
      </c>
      <c r="E20" s="29" t="s">
        <v>51</v>
      </c>
      <c r="F20" s="29">
        <f>L111</f>
        <v>129.47790000000001</v>
      </c>
      <c r="G20" s="29"/>
      <c r="H20" s="29"/>
      <c r="I20" s="29"/>
      <c r="J20" s="29"/>
      <c r="K20" s="29"/>
      <c r="L20" s="30">
        <f>(G111*In!M2+H111*In!M6+In!M8 )+((D19-D20)-298.15*(F19-F20))/1000</f>
        <v>500.31003349638661</v>
      </c>
      <c r="M20" s="31"/>
    </row>
    <row r="21" spans="1:18" ht="15.75" thickBot="1" x14ac:dyDescent="0.3"/>
    <row r="22" spans="1:18" x14ac:dyDescent="0.25">
      <c r="A22" s="57" t="s">
        <v>10</v>
      </c>
      <c r="B22" s="21">
        <v>1250</v>
      </c>
      <c r="C22" s="21">
        <f>LOG(0.000000001)</f>
        <v>-9</v>
      </c>
      <c r="D22" s="21">
        <v>1.0378000000000001</v>
      </c>
      <c r="E22" s="21"/>
      <c r="F22" s="21"/>
      <c r="G22" s="21"/>
      <c r="H22" s="21"/>
      <c r="I22" s="21"/>
      <c r="J22" s="21"/>
      <c r="K22" s="21"/>
      <c r="L22" s="21"/>
      <c r="M22" s="22"/>
    </row>
    <row r="23" spans="1:18" x14ac:dyDescent="0.25">
      <c r="A23" s="54" t="s">
        <v>12</v>
      </c>
      <c r="B23" s="2">
        <v>1250</v>
      </c>
      <c r="C23" s="2">
        <v>1</v>
      </c>
      <c r="D23" s="2">
        <v>1.8489</v>
      </c>
      <c r="F23" s="2">
        <v>0</v>
      </c>
      <c r="I23" s="2">
        <v>0.44695000000000001</v>
      </c>
      <c r="L23" s="2">
        <f>Out!D23*(In!M13-8.31451*298.15*LN(Out!I23)/1000)</f>
        <v>455.05788149904305</v>
      </c>
      <c r="M23" s="24">
        <f>Out!D23*(In!$M$14-8.31451*298.15*LN(Out!I23)/1000)</f>
        <v>406.91329474313255</v>
      </c>
    </row>
    <row r="24" spans="1:18" x14ac:dyDescent="0.25">
      <c r="A24" s="54" t="s">
        <v>13</v>
      </c>
      <c r="B24" s="2">
        <v>1250</v>
      </c>
      <c r="C24" s="2">
        <v>1</v>
      </c>
      <c r="D24" s="2">
        <v>7.5561000000000003E-2</v>
      </c>
      <c r="F24" s="2">
        <v>0</v>
      </c>
      <c r="I24" s="2">
        <v>8.5450999999999999E-3</v>
      </c>
      <c r="L24" s="2">
        <f>Out!D24*(In!M15-8.31451*298.15*LN(Out!I24)/1000)</f>
        <v>21.040402021129839</v>
      </c>
      <c r="M24" s="24">
        <f>Out!D24*(In!$M$16-8.31451*298.15*LN(Out!I24)/1000)</f>
        <v>16.349402405661401</v>
      </c>
    </row>
    <row r="25" spans="1:18" x14ac:dyDescent="0.25">
      <c r="A25" s="54" t="s">
        <v>14</v>
      </c>
      <c r="B25" s="2">
        <v>1250</v>
      </c>
      <c r="C25" s="2">
        <v>1</v>
      </c>
      <c r="D25" s="2">
        <v>1</v>
      </c>
      <c r="F25" s="2">
        <v>0</v>
      </c>
      <c r="I25" s="2">
        <v>0.48274</v>
      </c>
      <c r="L25" s="2">
        <f>Out!D25*(In!M17-8.31451*298.15*LN(I25)/1000)</f>
        <v>65.877325276776091</v>
      </c>
      <c r="M25" s="24">
        <f>Out!D25*(In!$M$18-8.31451*298.15*LN(Out!I25)/1000)</f>
        <v>57.633123176776088</v>
      </c>
    </row>
    <row r="26" spans="1:18" ht="31.5" x14ac:dyDescent="0.25">
      <c r="A26" s="54" t="s">
        <v>15</v>
      </c>
      <c r="B26" s="2">
        <v>1250</v>
      </c>
      <c r="C26" s="2">
        <v>1</v>
      </c>
      <c r="D26" s="2">
        <v>0</v>
      </c>
      <c r="F26" s="2">
        <v>0</v>
      </c>
      <c r="I26" s="2">
        <v>1</v>
      </c>
      <c r="L26" s="32">
        <f>SUM(L23:L25)</f>
        <v>541.97560879694902</v>
      </c>
      <c r="M26" s="26">
        <f>SUM(M23:M25)</f>
        <v>480.89582032557007</v>
      </c>
      <c r="P26" s="4" t="s">
        <v>83</v>
      </c>
      <c r="Q26" s="4" t="s">
        <v>84</v>
      </c>
      <c r="R26" s="4" t="s">
        <v>85</v>
      </c>
    </row>
    <row r="27" spans="1:18" x14ac:dyDescent="0.25">
      <c r="A27" s="54" t="s">
        <v>16</v>
      </c>
      <c r="B27" s="2">
        <v>1250</v>
      </c>
      <c r="C27" s="2">
        <v>1</v>
      </c>
      <c r="D27" s="2">
        <v>0</v>
      </c>
      <c r="F27" s="2">
        <v>0</v>
      </c>
      <c r="I27" s="2">
        <v>1</v>
      </c>
      <c r="M27" s="24"/>
      <c r="P27" s="5" t="s">
        <v>88</v>
      </c>
      <c r="Q27" s="5" t="s">
        <v>89</v>
      </c>
      <c r="R27" s="5" t="s">
        <v>90</v>
      </c>
    </row>
    <row r="28" spans="1:18" x14ac:dyDescent="0.25">
      <c r="A28" s="23"/>
      <c r="B28" s="2" t="s">
        <v>20</v>
      </c>
      <c r="C28" s="2" t="s">
        <v>48</v>
      </c>
      <c r="D28" s="2">
        <v>-251895.3</v>
      </c>
      <c r="E28" s="2" t="s">
        <v>49</v>
      </c>
      <c r="F28" s="2">
        <v>205.71119999999999</v>
      </c>
      <c r="G28" s="2" t="s">
        <v>44</v>
      </c>
      <c r="L28" s="27">
        <f>D28-298.15*F28</f>
        <v>-313228.09427999996</v>
      </c>
      <c r="M28" s="24"/>
      <c r="P28" s="5">
        <v>-11</v>
      </c>
      <c r="Q28" s="5">
        <f>D2</f>
        <v>1.0134000000000001</v>
      </c>
      <c r="R28" s="5" t="s">
        <v>21</v>
      </c>
    </row>
    <row r="29" spans="1:18" ht="16.5" x14ac:dyDescent="0.3">
      <c r="A29" s="23"/>
      <c r="C29" s="2" t="s">
        <v>48</v>
      </c>
      <c r="D29" s="2">
        <v>-1162595</v>
      </c>
      <c r="E29" s="2" t="s">
        <v>49</v>
      </c>
      <c r="F29" s="2">
        <v>514.5145</v>
      </c>
      <c r="M29" s="24"/>
      <c r="P29" s="5">
        <v>-7</v>
      </c>
      <c r="Q29" s="5">
        <f>D52</f>
        <v>1.0992</v>
      </c>
      <c r="R29" s="3" t="s">
        <v>86</v>
      </c>
    </row>
    <row r="30" spans="1:18" ht="17.25" thickBot="1" x14ac:dyDescent="0.35">
      <c r="A30" s="28"/>
      <c r="B30" s="29"/>
      <c r="C30" s="29" t="s">
        <v>50</v>
      </c>
      <c r="D30" s="29">
        <v>-1490680</v>
      </c>
      <c r="E30" s="29" t="s">
        <v>51</v>
      </c>
      <c r="F30" s="29">
        <v>129.97190000000001</v>
      </c>
      <c r="G30" s="29"/>
      <c r="H30" s="29"/>
      <c r="I30" s="29"/>
      <c r="J30" s="29"/>
      <c r="K30" s="29"/>
      <c r="L30" s="30">
        <f>(G112*In!M2+H112*In!M6+In!M8 )+((D29-D30)-298.15*(F29-F30))/1000</f>
        <v>493.97935031581113</v>
      </c>
      <c r="M30" s="31"/>
      <c r="P30" s="5">
        <v>-5</v>
      </c>
      <c r="Q30" s="5">
        <f>D96</f>
        <v>1.3339000000000001</v>
      </c>
      <c r="R30" s="3" t="s">
        <v>87</v>
      </c>
    </row>
    <row r="31" spans="1:18" ht="15.75" thickBot="1" x14ac:dyDescent="0.3"/>
    <row r="32" spans="1:18" x14ac:dyDescent="0.25">
      <c r="A32" s="57" t="s">
        <v>10</v>
      </c>
      <c r="B32" s="21">
        <v>1250</v>
      </c>
      <c r="C32" s="21">
        <f>LOG(0.00000001)</f>
        <v>-8</v>
      </c>
      <c r="D32" s="21">
        <v>1.0612999999999999</v>
      </c>
      <c r="E32" s="21"/>
      <c r="F32" s="21"/>
      <c r="G32" s="21"/>
      <c r="H32" s="21"/>
      <c r="I32" s="21"/>
      <c r="J32" s="21"/>
      <c r="K32" s="21"/>
      <c r="L32" s="21"/>
      <c r="M32" s="22"/>
    </row>
    <row r="33" spans="1:13" x14ac:dyDescent="0.25">
      <c r="A33" s="54" t="s">
        <v>12</v>
      </c>
      <c r="B33" s="2">
        <v>1250</v>
      </c>
      <c r="C33" s="2">
        <v>1</v>
      </c>
      <c r="D33" s="2">
        <v>1.7545999999999999</v>
      </c>
      <c r="F33" s="2">
        <v>0</v>
      </c>
      <c r="I33" s="2">
        <v>0.56167</v>
      </c>
      <c r="L33" s="2">
        <f>Out!D33*(In!M13-8.31451*298.15*LN(Out!I33)/1000)</f>
        <v>430.8546841939874</v>
      </c>
      <c r="M33" s="24">
        <f>Out!D33*(In!$M$14-8.31451*298.15*LN(Out!I33)/1000)</f>
        <v>385.16563020409041</v>
      </c>
    </row>
    <row r="34" spans="1:13" x14ac:dyDescent="0.25">
      <c r="A34" s="54" t="s">
        <v>13</v>
      </c>
      <c r="B34" s="2">
        <v>1250</v>
      </c>
      <c r="C34" s="2">
        <v>1</v>
      </c>
      <c r="D34" s="2">
        <v>0.12268999999999999</v>
      </c>
      <c r="F34" s="2">
        <v>0</v>
      </c>
      <c r="I34" s="2">
        <v>0.39176</v>
      </c>
      <c r="L34" s="2">
        <f>Out!D34*(In!M15-8.31451*298.15*LN(Out!I34)/1000)</f>
        <v>33.000304349374453</v>
      </c>
      <c r="M34" s="24">
        <f>Out!D34*(In!$M$16-8.31451*298.15*LN(Out!I34)/1000)</f>
        <v>25.383428675126858</v>
      </c>
    </row>
    <row r="35" spans="1:13" x14ac:dyDescent="0.25">
      <c r="A35" s="54" t="s">
        <v>14</v>
      </c>
      <c r="B35" s="2">
        <v>1250</v>
      </c>
      <c r="C35" s="2">
        <v>1</v>
      </c>
      <c r="D35" s="2">
        <v>1</v>
      </c>
      <c r="F35" s="2">
        <v>0</v>
      </c>
      <c r="I35" s="2">
        <v>2.0760000000000001E-2</v>
      </c>
      <c r="L35" s="2">
        <f>Out!D35*(In!M17-8.31451*298.15*LN(Out!I35)/1000)</f>
        <v>73.677284439382206</v>
      </c>
      <c r="M35" s="24">
        <f>Out!D35*(In!$M$18-8.31451*298.15*LN(Out!I35)/1000)</f>
        <v>65.433082339382196</v>
      </c>
    </row>
    <row r="36" spans="1:13" x14ac:dyDescent="0.25">
      <c r="A36" s="54" t="s">
        <v>15</v>
      </c>
      <c r="B36" s="2">
        <v>1250</v>
      </c>
      <c r="C36" s="2">
        <v>1</v>
      </c>
      <c r="D36" s="2">
        <v>0</v>
      </c>
      <c r="F36" s="2">
        <v>0</v>
      </c>
      <c r="I36" s="2">
        <v>1</v>
      </c>
      <c r="L36" s="32">
        <f>SUM(L33:L35)</f>
        <v>537.53227298274408</v>
      </c>
      <c r="M36" s="26">
        <f>SUM(M33:M35)</f>
        <v>475.98214121859951</v>
      </c>
    </row>
    <row r="37" spans="1:13" x14ac:dyDescent="0.25">
      <c r="A37" s="54" t="s">
        <v>16</v>
      </c>
      <c r="B37" s="2">
        <v>1250</v>
      </c>
      <c r="C37" s="2">
        <v>1</v>
      </c>
      <c r="D37" s="2">
        <v>0</v>
      </c>
      <c r="F37" s="2">
        <v>0</v>
      </c>
      <c r="I37" s="2">
        <v>1</v>
      </c>
      <c r="M37" s="24"/>
    </row>
    <row r="38" spans="1:13" x14ac:dyDescent="0.25">
      <c r="A38" s="23"/>
      <c r="B38" s="2" t="s">
        <v>20</v>
      </c>
      <c r="C38" s="2" t="s">
        <v>48</v>
      </c>
      <c r="D38" s="2">
        <v>-263888.40000000002</v>
      </c>
      <c r="E38" s="2" t="s">
        <v>49</v>
      </c>
      <c r="F38" s="2">
        <v>202.27520000000001</v>
      </c>
      <c r="G38" s="2" t="s">
        <v>44</v>
      </c>
      <c r="L38" s="27">
        <f>D38-298.15*F38</f>
        <v>-324196.75088000001</v>
      </c>
      <c r="M38" s="24"/>
    </row>
    <row r="39" spans="1:13" x14ac:dyDescent="0.25">
      <c r="A39" s="23"/>
      <c r="C39" s="2" t="s">
        <v>48</v>
      </c>
      <c r="D39" s="2">
        <v>-1174588</v>
      </c>
      <c r="E39" s="2" t="s">
        <v>49</v>
      </c>
      <c r="F39" s="2">
        <v>515.91060000000004</v>
      </c>
      <c r="M39" s="24"/>
    </row>
    <row r="40" spans="1:13" ht="15.75" thickBot="1" x14ac:dyDescent="0.3">
      <c r="A40" s="28"/>
      <c r="B40" s="29"/>
      <c r="C40" s="29" t="s">
        <v>50</v>
      </c>
      <c r="D40" s="29">
        <v>-1503813</v>
      </c>
      <c r="E40" s="29" t="s">
        <v>51</v>
      </c>
      <c r="F40" s="29">
        <v>130.74080000000001</v>
      </c>
      <c r="G40" s="29"/>
      <c r="H40" s="29"/>
      <c r="I40" s="29"/>
      <c r="J40" s="29"/>
      <c r="K40" s="29"/>
      <c r="L40" s="30">
        <f>(G113*In!M2+H113*In!M6+In!M8 )+((D39-D40)-298.15*(F39-F40))/1000</f>
        <v>484.27596296819365</v>
      </c>
      <c r="M40" s="31"/>
    </row>
    <row r="41" spans="1:13" ht="15.75" thickBot="1" x14ac:dyDescent="0.3"/>
    <row r="42" spans="1:13" x14ac:dyDescent="0.25">
      <c r="A42" s="57" t="s">
        <v>10</v>
      </c>
      <c r="B42" s="21">
        <v>1250</v>
      </c>
      <c r="C42" s="21">
        <f>LOG(0.000000091621)</f>
        <v>-7.0380049724146412</v>
      </c>
      <c r="D42" s="21">
        <v>1.0955999999999999</v>
      </c>
      <c r="E42" s="21"/>
      <c r="F42" s="21"/>
      <c r="G42" s="21"/>
      <c r="H42" s="21"/>
      <c r="I42" s="21"/>
      <c r="J42" s="21"/>
      <c r="K42" s="21"/>
      <c r="L42" s="21"/>
      <c r="M42" s="22"/>
    </row>
    <row r="43" spans="1:13" x14ac:dyDescent="0.25">
      <c r="A43" s="54" t="s">
        <v>12</v>
      </c>
      <c r="B43" s="2">
        <v>1250</v>
      </c>
      <c r="C43" s="2">
        <v>1</v>
      </c>
      <c r="D43" s="2">
        <v>1.6173999999999999</v>
      </c>
      <c r="F43" s="2">
        <v>0</v>
      </c>
      <c r="I43" s="2">
        <v>0.32839000000000002</v>
      </c>
      <c r="L43" s="2">
        <f>Out!D43*(In!M13-8.31451*298.15*LN(Out!I43)/1000)</f>
        <v>399.31617725677836</v>
      </c>
      <c r="M43" s="24">
        <f>Out!D43*(In!$M$14-8.31451*298.15*LN(Out!I43)/1000)</f>
        <v>357.19975418413532</v>
      </c>
    </row>
    <row r="44" spans="1:13" x14ac:dyDescent="0.25">
      <c r="A44" s="54" t="s">
        <v>13</v>
      </c>
      <c r="B44" s="2">
        <v>1250</v>
      </c>
      <c r="C44" s="2">
        <v>1</v>
      </c>
      <c r="D44" s="2">
        <v>0.19128000000000001</v>
      </c>
      <c r="F44" s="2">
        <v>0</v>
      </c>
      <c r="I44" s="2">
        <v>4.4156000000000001E-2</v>
      </c>
      <c r="L44" s="2">
        <f>Out!D44*(In!M15-8.31541*298.15*LN(Out!I44)/1000)</f>
        <v>52.484418515312477</v>
      </c>
      <c r="M44" s="24">
        <f>Out!D44*(In!$M$16-8.31451*298.15*LN(Out!I44)/1000)</f>
        <v>40.609158699612458</v>
      </c>
    </row>
    <row r="45" spans="1:13" x14ac:dyDescent="0.25">
      <c r="A45" s="54" t="s">
        <v>14</v>
      </c>
      <c r="B45" s="2">
        <v>1250</v>
      </c>
      <c r="C45" s="2">
        <v>1</v>
      </c>
      <c r="D45" s="2">
        <v>1</v>
      </c>
      <c r="F45" s="2">
        <v>0</v>
      </c>
      <c r="I45" s="2">
        <v>0.67342999999999997</v>
      </c>
      <c r="L45" s="2">
        <f>Out!D45*(In!M17-8.31451*298.15*LN(Out!I45)/1000)</f>
        <v>65.052061278430244</v>
      </c>
      <c r="M45" s="24">
        <f>Out!D45*(In!$M$18-8.31451*298.15*LN(Out!I45)/1000)</f>
        <v>56.807859178430242</v>
      </c>
    </row>
    <row r="46" spans="1:13" x14ac:dyDescent="0.25">
      <c r="A46" s="54" t="s">
        <v>15</v>
      </c>
      <c r="B46" s="2">
        <v>1250</v>
      </c>
      <c r="C46" s="2">
        <v>1</v>
      </c>
      <c r="D46" s="2">
        <v>0</v>
      </c>
      <c r="F46" s="2">
        <v>0</v>
      </c>
      <c r="I46" s="2">
        <v>1</v>
      </c>
      <c r="L46" s="32">
        <f>SUM(L43:L45)</f>
        <v>516.85265705052109</v>
      </c>
      <c r="M46" s="26">
        <f>SUM(M43:M45)</f>
        <v>454.61677206217803</v>
      </c>
    </row>
    <row r="47" spans="1:13" x14ac:dyDescent="0.25">
      <c r="A47" s="54" t="s">
        <v>16</v>
      </c>
      <c r="B47" s="2">
        <v>1250</v>
      </c>
      <c r="C47" s="2">
        <v>1</v>
      </c>
      <c r="D47" s="2">
        <v>0</v>
      </c>
      <c r="F47" s="2">
        <v>0</v>
      </c>
      <c r="I47" s="2">
        <v>1</v>
      </c>
      <c r="M47" s="24"/>
    </row>
    <row r="48" spans="1:13" x14ac:dyDescent="0.25">
      <c r="A48" s="23"/>
      <c r="B48" s="2" t="s">
        <v>20</v>
      </c>
      <c r="C48" s="2" t="s">
        <v>48</v>
      </c>
      <c r="D48" s="2">
        <v>-281106.5</v>
      </c>
      <c r="E48" s="2" t="s">
        <v>49</v>
      </c>
      <c r="F48" s="2">
        <v>196.7878</v>
      </c>
      <c r="G48" s="2" t="s">
        <v>43</v>
      </c>
      <c r="L48" s="27">
        <f>D48-298.15*F48</f>
        <v>-339778.78256999998</v>
      </c>
      <c r="M48" s="24"/>
    </row>
    <row r="49" spans="1:13" x14ac:dyDescent="0.25">
      <c r="A49" s="23"/>
      <c r="C49" s="2" t="s">
        <v>48</v>
      </c>
      <c r="D49" s="2">
        <v>-1191806</v>
      </c>
      <c r="E49" s="2" t="s">
        <v>49</v>
      </c>
      <c r="F49" s="2">
        <v>517.45460000000003</v>
      </c>
      <c r="M49" s="24"/>
    </row>
    <row r="50" spans="1:13" ht="15.75" thickBot="1" x14ac:dyDescent="0.3">
      <c r="A50" s="28"/>
      <c r="B50" s="29"/>
      <c r="C50" s="29" t="s">
        <v>50</v>
      </c>
      <c r="D50" s="29">
        <v>-1522982</v>
      </c>
      <c r="E50" s="29" t="s">
        <v>51</v>
      </c>
      <c r="F50" s="29">
        <v>131.8629</v>
      </c>
      <c r="G50" s="29"/>
      <c r="H50" s="29"/>
      <c r="I50" s="29"/>
      <c r="J50" s="29"/>
      <c r="K50" s="29"/>
      <c r="L50" s="30">
        <f>(G114*In!M2+H114*In!M6+In!M8 )+((D49-D50)-298.15*(F49-F50))/1000</f>
        <v>470.54738212152211</v>
      </c>
      <c r="M50" s="31"/>
    </row>
    <row r="51" spans="1:13" ht="15.75" thickBot="1" x14ac:dyDescent="0.3"/>
    <row r="52" spans="1:13" x14ac:dyDescent="0.25">
      <c r="A52" s="57" t="s">
        <v>10</v>
      </c>
      <c r="B52" s="21">
        <v>1250</v>
      </c>
      <c r="C52" s="21">
        <f>LOG(0.0000001)</f>
        <v>-7</v>
      </c>
      <c r="D52" s="21">
        <v>1.0992</v>
      </c>
      <c r="E52" s="21"/>
      <c r="F52" s="21"/>
      <c r="G52" s="21"/>
      <c r="H52" s="21"/>
      <c r="I52" s="21"/>
      <c r="J52" s="21"/>
      <c r="K52" s="21"/>
      <c r="L52" s="21"/>
      <c r="M52" s="22"/>
    </row>
    <row r="53" spans="1:13" x14ac:dyDescent="0.25">
      <c r="A53" s="54" t="s">
        <v>12</v>
      </c>
      <c r="B53" s="2">
        <v>1250</v>
      </c>
      <c r="C53" s="2">
        <v>1</v>
      </c>
      <c r="D53" s="2">
        <v>1.5943000000000001</v>
      </c>
      <c r="F53" s="2">
        <v>0</v>
      </c>
      <c r="I53" s="2">
        <v>0.32363999999999998</v>
      </c>
      <c r="L53" s="2">
        <f>Out!D53*(In!M13-8.31451*298.15*LN(Out!I53)/1000)</f>
        <v>393.67065567660143</v>
      </c>
      <c r="M53" s="24">
        <f>Out!D53*(In!$M$14-8.31451*298.15*LN(Out!I53)/1000)</f>
        <v>352.15574699308792</v>
      </c>
    </row>
    <row r="54" spans="1:13" x14ac:dyDescent="0.25">
      <c r="A54" s="54" t="s">
        <v>13</v>
      </c>
      <c r="B54" s="2">
        <v>1250</v>
      </c>
      <c r="C54" s="2">
        <v>1</v>
      </c>
      <c r="D54" s="2">
        <v>0.18973999999999999</v>
      </c>
      <c r="F54" s="2">
        <v>0</v>
      </c>
      <c r="I54" s="2">
        <v>4.4803999999999997E-2</v>
      </c>
      <c r="L54" s="2">
        <f>Out!D54*(In!M15-8.31451*298.15*LN(Out!I54)/1000)</f>
        <v>52.054853826167246</v>
      </c>
      <c r="M54" s="24">
        <f>Out!D54*(In!$M$16-8.31451*298.15*LN(Out!I54)/1000)</f>
        <v>40.275360872937654</v>
      </c>
    </row>
    <row r="55" spans="1:13" x14ac:dyDescent="0.25">
      <c r="A55" s="54" t="s">
        <v>14</v>
      </c>
      <c r="B55" s="2">
        <v>1250</v>
      </c>
      <c r="C55" s="2">
        <v>1</v>
      </c>
      <c r="D55" s="2">
        <v>1</v>
      </c>
      <c r="F55" s="2">
        <v>0</v>
      </c>
      <c r="I55" s="2">
        <v>0.68747999999999998</v>
      </c>
      <c r="K55" s="2" t="s">
        <v>19</v>
      </c>
      <c r="L55" s="2">
        <f>Out!D55*(In!M17-8.31451*298.15*LN(Out!I55)/1000)</f>
        <v>65.000873790268315</v>
      </c>
      <c r="M55" s="24">
        <f>Out!D55*(In!$M$18-8.31451*298.15*LN(Out!I55)/1000)</f>
        <v>56.756671690268313</v>
      </c>
    </row>
    <row r="56" spans="1:13" x14ac:dyDescent="0.25">
      <c r="A56" s="54" t="s">
        <v>15</v>
      </c>
      <c r="B56" s="2">
        <v>1250</v>
      </c>
      <c r="C56" s="2">
        <v>1</v>
      </c>
      <c r="D56" s="2">
        <v>8.7308999999999998E-3</v>
      </c>
      <c r="F56" s="2">
        <v>0</v>
      </c>
      <c r="I56" s="2">
        <v>1</v>
      </c>
      <c r="K56" s="2">
        <v>0.42857000000000001</v>
      </c>
      <c r="L56" s="2">
        <f>Out!$D$56*(In!$M$12)</f>
        <v>3.2437425612845807</v>
      </c>
      <c r="M56" s="24">
        <f>Out!$D$56*(In!$M$12)</f>
        <v>3.2437425612845807</v>
      </c>
    </row>
    <row r="57" spans="1:13" x14ac:dyDescent="0.25">
      <c r="A57" s="54" t="s">
        <v>16</v>
      </c>
      <c r="B57" s="2">
        <v>1250</v>
      </c>
      <c r="C57" s="2">
        <v>1</v>
      </c>
      <c r="D57" s="2">
        <v>0</v>
      </c>
      <c r="F57" s="2">
        <v>0</v>
      </c>
      <c r="I57" s="2">
        <v>1</v>
      </c>
      <c r="L57" s="32">
        <f>SUM(L53:L56)</f>
        <v>513.97012585432151</v>
      </c>
      <c r="M57" s="26">
        <f>SUM(M53:M56)</f>
        <v>452.43152211757848</v>
      </c>
    </row>
    <row r="58" spans="1:13" x14ac:dyDescent="0.25">
      <c r="A58" s="23"/>
      <c r="B58" s="2" t="s">
        <v>20</v>
      </c>
      <c r="C58" s="2" t="s">
        <v>48</v>
      </c>
      <c r="D58" s="2">
        <v>-283822.09999999998</v>
      </c>
      <c r="E58" s="2" t="s">
        <v>49</v>
      </c>
      <c r="F58" s="2">
        <v>195.58250000000001</v>
      </c>
      <c r="G58" s="2" t="s">
        <v>43</v>
      </c>
      <c r="M58" s="24"/>
    </row>
    <row r="59" spans="1:13" x14ac:dyDescent="0.25">
      <c r="A59" s="23"/>
      <c r="B59" s="33" t="s">
        <v>21</v>
      </c>
      <c r="C59" s="2" t="s">
        <v>48</v>
      </c>
      <c r="D59" s="2">
        <v>-1186977</v>
      </c>
      <c r="E59" s="2" t="s">
        <v>49</v>
      </c>
      <c r="F59" s="2">
        <v>512.83939999999996</v>
      </c>
      <c r="L59" s="27">
        <f>D58-298.15*F58</f>
        <v>-342135.022375</v>
      </c>
      <c r="M59" s="24"/>
    </row>
    <row r="60" spans="1:13" x14ac:dyDescent="0.25">
      <c r="A60" s="23"/>
      <c r="B60" s="33" t="s">
        <v>15</v>
      </c>
      <c r="C60" s="2" t="s">
        <v>48</v>
      </c>
      <c r="D60" s="2">
        <v>-7545.0540000000001</v>
      </c>
      <c r="E60" s="2" t="s">
        <v>49</v>
      </c>
      <c r="F60" s="2">
        <v>4.1471749999999998</v>
      </c>
      <c r="M60" s="24"/>
    </row>
    <row r="61" spans="1:13" ht="15.75" thickBot="1" x14ac:dyDescent="0.3">
      <c r="A61" s="28"/>
      <c r="B61" s="29"/>
      <c r="C61" s="29" t="s">
        <v>50</v>
      </c>
      <c r="D61" s="29">
        <v>-1524994</v>
      </c>
      <c r="E61" s="29" t="s">
        <v>51</v>
      </c>
      <c r="F61" s="29">
        <v>131.98070000000001</v>
      </c>
      <c r="G61" s="29"/>
      <c r="H61" s="29"/>
      <c r="I61" s="29"/>
      <c r="J61" s="29"/>
      <c r="K61" s="29"/>
      <c r="L61" s="30">
        <f>(G115*In!M2+H115*In!M6+In!M8 )+((D59+D60-D61)-298.15*(F59+F60-F61))/1000</f>
        <v>468.38552394725411</v>
      </c>
      <c r="M61" s="31"/>
    </row>
    <row r="62" spans="1:13" ht="15.75" thickBot="1" x14ac:dyDescent="0.3"/>
    <row r="63" spans="1:13" x14ac:dyDescent="0.25">
      <c r="A63" s="57" t="s">
        <v>10</v>
      </c>
      <c r="B63" s="21">
        <v>1250</v>
      </c>
      <c r="C63" s="21">
        <f>LOG(0.00000024531)</f>
        <v>-6.6102847475282323</v>
      </c>
      <c r="D63" s="21">
        <v>1.1335</v>
      </c>
      <c r="E63" s="21"/>
      <c r="F63" s="21"/>
      <c r="G63" s="21"/>
      <c r="H63" s="21"/>
      <c r="I63" s="21"/>
      <c r="J63" s="21"/>
      <c r="K63" s="21"/>
      <c r="L63" s="21"/>
      <c r="M63" s="22"/>
    </row>
    <row r="64" spans="1:13" x14ac:dyDescent="0.25">
      <c r="A64" s="54" t="s">
        <v>12</v>
      </c>
      <c r="B64" s="2">
        <v>1250</v>
      </c>
      <c r="C64" s="2">
        <v>1</v>
      </c>
      <c r="D64" s="2">
        <v>1.3784000000000001</v>
      </c>
      <c r="F64" s="2">
        <v>0</v>
      </c>
      <c r="I64" s="2">
        <v>0.27867999999999998</v>
      </c>
      <c r="L64" s="2">
        <f>Out!D64*(In!M13-8.31451*298.15*LN(Out!I64)/1000)</f>
        <v>340.87087627566393</v>
      </c>
      <c r="M64" s="24">
        <f>Out!D64*(In!$M$14-8.31451*298.15*LN(Out!I64)/1000)</f>
        <v>304.97791376587594</v>
      </c>
    </row>
    <row r="65" spans="1:13" x14ac:dyDescent="0.25">
      <c r="A65" s="54" t="s">
        <v>13</v>
      </c>
      <c r="B65" s="2">
        <v>1250</v>
      </c>
      <c r="C65" s="2">
        <v>1</v>
      </c>
      <c r="D65" s="2">
        <v>0.17946000000000001</v>
      </c>
      <c r="F65" s="2">
        <v>0</v>
      </c>
      <c r="I65" s="2">
        <v>5.203E-2</v>
      </c>
      <c r="L65" s="2">
        <f>Out!D65*(In!M15-8.31451*298.15*LN(Out!I65)/1000)</f>
        <v>49.168033659374501</v>
      </c>
      <c r="M65" s="24">
        <f>Out!D65*(In!$M$16-8.31451*298.15*LN(Out!I65)/1000)</f>
        <v>38.02674660663611</v>
      </c>
    </row>
    <row r="66" spans="1:13" x14ac:dyDescent="0.25">
      <c r="A66" s="54" t="s">
        <v>14</v>
      </c>
      <c r="B66" s="2">
        <v>1250</v>
      </c>
      <c r="C66" s="2">
        <v>1</v>
      </c>
      <c r="D66" s="2">
        <v>1</v>
      </c>
      <c r="F66" s="2">
        <v>0</v>
      </c>
      <c r="I66" s="2">
        <v>0.83501999999999998</v>
      </c>
      <c r="K66" s="2" t="s">
        <v>19</v>
      </c>
      <c r="L66" s="2">
        <f>Out!D66*(In!M17-8.31451*298.15*LN(Out!I66)/1000)</f>
        <v>64.518904933685491</v>
      </c>
      <c r="M66" s="24">
        <f>Out!D66*(In!$M$18-8.31451*298.15*LN(Out!I66)/1000)</f>
        <v>56.274702833685495</v>
      </c>
    </row>
    <row r="67" spans="1:13" x14ac:dyDescent="0.25">
      <c r="A67" s="54" t="s">
        <v>15</v>
      </c>
      <c r="B67" s="2">
        <v>1250</v>
      </c>
      <c r="C67" s="2">
        <v>1</v>
      </c>
      <c r="D67" s="2">
        <v>8.7566000000000005E-2</v>
      </c>
      <c r="F67" s="2">
        <v>0</v>
      </c>
      <c r="I67" s="2">
        <v>1</v>
      </c>
      <c r="K67" s="2">
        <v>0.42856</v>
      </c>
      <c r="L67" s="2">
        <f>Out!$D$67*In!$M$12</f>
        <v>32.532907388865482</v>
      </c>
      <c r="M67" s="24">
        <f>Out!$D$67*In!$M$12</f>
        <v>32.532907388865482</v>
      </c>
    </row>
    <row r="68" spans="1:13" x14ac:dyDescent="0.25">
      <c r="A68" s="54" t="s">
        <v>16</v>
      </c>
      <c r="B68" s="2">
        <v>1250</v>
      </c>
      <c r="C68" s="2">
        <v>1</v>
      </c>
      <c r="D68" s="2">
        <v>0</v>
      </c>
      <c r="F68" s="2">
        <v>0</v>
      </c>
      <c r="I68" s="2">
        <v>1</v>
      </c>
      <c r="L68" s="33">
        <f>SUM(L64:L67)</f>
        <v>487.09072225758939</v>
      </c>
      <c r="M68" s="26">
        <f>SUM(M64:M67)</f>
        <v>431.81227059506307</v>
      </c>
    </row>
    <row r="69" spans="1:13" x14ac:dyDescent="0.25">
      <c r="A69" s="23"/>
      <c r="B69" s="2" t="s">
        <v>20</v>
      </c>
      <c r="C69" s="2" t="s">
        <v>48</v>
      </c>
      <c r="D69" s="2">
        <v>-309139.5</v>
      </c>
      <c r="E69" s="2" t="s">
        <v>49</v>
      </c>
      <c r="F69" s="2">
        <v>184.32990000000001</v>
      </c>
      <c r="G69" s="2" t="s">
        <v>43</v>
      </c>
      <c r="M69" s="24"/>
    </row>
    <row r="70" spans="1:13" x14ac:dyDescent="0.25">
      <c r="A70" s="23"/>
      <c r="B70" s="33" t="s">
        <v>21</v>
      </c>
      <c r="C70" s="2" t="s">
        <v>48</v>
      </c>
      <c r="D70" s="2">
        <v>-1144167</v>
      </c>
      <c r="E70" s="2" t="s">
        <v>49</v>
      </c>
      <c r="F70" s="2">
        <v>471.16890000000001</v>
      </c>
      <c r="L70" s="27">
        <f>D69-298.15*F69</f>
        <v>-364097.45968500001</v>
      </c>
      <c r="M70" s="24"/>
    </row>
    <row r="71" spans="1:13" x14ac:dyDescent="0.25">
      <c r="A71" s="23"/>
      <c r="B71" s="33" t="s">
        <v>15</v>
      </c>
      <c r="C71" s="2" t="s">
        <v>48</v>
      </c>
      <c r="D71" s="2">
        <v>-75672.490000000005</v>
      </c>
      <c r="E71" s="2" t="s">
        <v>49</v>
      </c>
      <c r="F71" s="2">
        <v>41.593780000000002</v>
      </c>
      <c r="M71" s="24"/>
    </row>
    <row r="72" spans="1:13" ht="15.75" thickBot="1" x14ac:dyDescent="0.3">
      <c r="A72" s="28"/>
      <c r="B72" s="29"/>
      <c r="C72" s="29" t="s">
        <v>50</v>
      </c>
      <c r="D72" s="29">
        <v>-1544163</v>
      </c>
      <c r="E72" s="29" t="s">
        <v>51</v>
      </c>
      <c r="F72" s="29">
        <v>133.1028</v>
      </c>
      <c r="G72" s="29"/>
      <c r="H72" s="29"/>
      <c r="I72" s="29"/>
      <c r="J72" s="29"/>
      <c r="K72" s="29"/>
      <c r="L72" s="30">
        <f>(G116*In!M2+H116*In!M6+In!M8 )+((D70+D71-D72)-298.15*(F70+F71-F72))/1000</f>
        <v>448.27720499483263</v>
      </c>
      <c r="M72" s="31"/>
    </row>
    <row r="73" spans="1:13" ht="15.75" thickBot="1" x14ac:dyDescent="0.3"/>
    <row r="74" spans="1:13" x14ac:dyDescent="0.25">
      <c r="A74" s="57" t="s">
        <v>10</v>
      </c>
      <c r="B74" s="21">
        <v>1250</v>
      </c>
      <c r="C74" s="21">
        <f>LOG(0.00000024531)</f>
        <v>-6.6102847475282323</v>
      </c>
      <c r="D74" s="21">
        <v>1.3333999999999999</v>
      </c>
      <c r="E74" s="21"/>
      <c r="F74" s="21"/>
      <c r="G74" s="21"/>
      <c r="H74" s="21"/>
      <c r="I74" s="21"/>
      <c r="J74" s="21"/>
      <c r="K74" s="21"/>
      <c r="L74" s="21"/>
      <c r="M74" s="22"/>
    </row>
    <row r="75" spans="1:13" x14ac:dyDescent="0.25">
      <c r="A75" s="54" t="s">
        <v>12</v>
      </c>
      <c r="B75" s="2">
        <v>1250</v>
      </c>
      <c r="C75" s="2">
        <v>1</v>
      </c>
      <c r="D75" s="2">
        <v>0</v>
      </c>
      <c r="F75" s="2">
        <v>0</v>
      </c>
      <c r="M75" s="24"/>
    </row>
    <row r="76" spans="1:13" x14ac:dyDescent="0.25">
      <c r="A76" s="54" t="s">
        <v>13</v>
      </c>
      <c r="B76" s="2">
        <v>1250</v>
      </c>
      <c r="C76" s="2">
        <v>1</v>
      </c>
      <c r="D76" s="2">
        <v>0</v>
      </c>
      <c r="F76" s="2">
        <v>0</v>
      </c>
      <c r="M76" s="24"/>
    </row>
    <row r="77" spans="1:13" x14ac:dyDescent="0.25">
      <c r="A77" s="54" t="s">
        <v>14</v>
      </c>
      <c r="B77" s="2">
        <v>1250</v>
      </c>
      <c r="C77" s="2">
        <v>1</v>
      </c>
      <c r="D77" s="2">
        <v>0</v>
      </c>
      <c r="F77" s="2">
        <v>0</v>
      </c>
      <c r="K77" s="2" t="s">
        <v>19</v>
      </c>
      <c r="M77" s="24"/>
    </row>
    <row r="78" spans="1:13" x14ac:dyDescent="0.25">
      <c r="A78" s="54" t="s">
        <v>15</v>
      </c>
      <c r="B78" s="2">
        <v>1250</v>
      </c>
      <c r="C78" s="2">
        <v>1</v>
      </c>
      <c r="D78" s="2">
        <v>0.66669</v>
      </c>
      <c r="F78" s="2">
        <v>0</v>
      </c>
      <c r="I78" s="2">
        <v>1</v>
      </c>
      <c r="K78" s="2">
        <v>0.42856</v>
      </c>
      <c r="L78" s="2">
        <f>Out!D78*In!M12</f>
        <v>247.69161577647404</v>
      </c>
      <c r="M78" s="24"/>
    </row>
    <row r="79" spans="1:13" x14ac:dyDescent="0.25">
      <c r="A79" s="54" t="s">
        <v>16</v>
      </c>
      <c r="B79" s="2">
        <v>1250</v>
      </c>
      <c r="C79" s="2">
        <v>1</v>
      </c>
      <c r="D79" s="2">
        <v>1</v>
      </c>
      <c r="F79" s="2">
        <v>0</v>
      </c>
      <c r="I79" s="2">
        <v>1</v>
      </c>
      <c r="L79" s="2">
        <f>Out!D79*In!M18</f>
        <v>55.827745320000041</v>
      </c>
      <c r="M79" s="24"/>
    </row>
    <row r="80" spans="1:13" x14ac:dyDescent="0.25">
      <c r="A80" s="23"/>
      <c r="B80" s="2" t="s">
        <v>20</v>
      </c>
      <c r="C80" s="2" t="s">
        <v>48</v>
      </c>
      <c r="D80" s="2">
        <v>-491041.6</v>
      </c>
      <c r="E80" s="2" t="s">
        <v>49</v>
      </c>
      <c r="F80" s="2">
        <v>95.4495</v>
      </c>
      <c r="G80" s="2" t="s">
        <v>44</v>
      </c>
      <c r="L80" s="34">
        <f>SUM(L78:L79)</f>
        <v>303.51936109647409</v>
      </c>
      <c r="M80" s="24"/>
    </row>
    <row r="81" spans="1:14" x14ac:dyDescent="0.25">
      <c r="A81" s="23"/>
      <c r="B81" s="33" t="s">
        <v>16</v>
      </c>
      <c r="C81" s="2" t="s">
        <v>48</v>
      </c>
      <c r="D81" s="2">
        <v>-825602.1</v>
      </c>
      <c r="E81" s="2" t="s">
        <v>49</v>
      </c>
      <c r="F81" s="2">
        <v>148.1848</v>
      </c>
      <c r="M81" s="24"/>
    </row>
    <row r="82" spans="1:14" x14ac:dyDescent="0.25">
      <c r="A82" s="23"/>
      <c r="B82" s="33" t="s">
        <v>15</v>
      </c>
      <c r="C82" s="2" t="s">
        <v>48</v>
      </c>
      <c r="D82" s="2">
        <v>-576139.5</v>
      </c>
      <c r="E82" s="2" t="s">
        <v>49</v>
      </c>
      <c r="F82" s="2">
        <v>316.678</v>
      </c>
      <c r="M82" s="24"/>
    </row>
    <row r="83" spans="1:14" ht="15.75" thickBot="1" x14ac:dyDescent="0.3">
      <c r="A83" s="28"/>
      <c r="B83" s="29"/>
      <c r="C83" s="29" t="s">
        <v>50</v>
      </c>
      <c r="D83" s="29">
        <v>-1655873</v>
      </c>
      <c r="E83" s="29" t="s">
        <v>51</v>
      </c>
      <c r="F83" s="29">
        <v>139.63640000000001</v>
      </c>
      <c r="G83" s="29"/>
      <c r="H83" s="29"/>
      <c r="I83" s="29"/>
      <c r="J83" s="29"/>
      <c r="K83" s="29"/>
      <c r="L83" s="30">
        <f>(H117*In!M6+I117*In!M7+In!M8 )+((D81+D82-D83)-298.15*(F81+F82-F83))/1000</f>
        <v>303.67865141154306</v>
      </c>
      <c r="M83" s="35" t="s">
        <v>57</v>
      </c>
      <c r="N83" s="36"/>
    </row>
    <row r="84" spans="1:14" ht="15.75" thickBot="1" x14ac:dyDescent="0.3"/>
    <row r="85" spans="1:14" x14ac:dyDescent="0.25">
      <c r="A85" s="57" t="s">
        <v>10</v>
      </c>
      <c r="B85" s="21">
        <v>1250</v>
      </c>
      <c r="C85" s="21">
        <f>LOG(0.000001)</f>
        <v>-6</v>
      </c>
      <c r="D85" s="21">
        <v>1.3334999999999999</v>
      </c>
      <c r="E85" s="21"/>
      <c r="F85" s="21"/>
      <c r="G85" s="21"/>
      <c r="H85" s="21"/>
      <c r="I85" s="21"/>
      <c r="J85" s="21"/>
      <c r="K85" s="21"/>
      <c r="L85" s="21"/>
      <c r="M85" s="22"/>
    </row>
    <row r="86" spans="1:14" x14ac:dyDescent="0.25">
      <c r="A86" s="54" t="s">
        <v>12</v>
      </c>
      <c r="B86" s="2">
        <v>1250</v>
      </c>
      <c r="C86" s="2">
        <v>1</v>
      </c>
      <c r="D86" s="2">
        <v>0</v>
      </c>
      <c r="F86" s="2">
        <v>0</v>
      </c>
      <c r="M86" s="24"/>
    </row>
    <row r="87" spans="1:14" x14ac:dyDescent="0.25">
      <c r="A87" s="54" t="s">
        <v>13</v>
      </c>
      <c r="B87" s="2">
        <v>1250</v>
      </c>
      <c r="C87" s="2">
        <v>1</v>
      </c>
      <c r="D87" s="2">
        <v>0</v>
      </c>
      <c r="F87" s="2">
        <v>0</v>
      </c>
      <c r="M87" s="24"/>
    </row>
    <row r="88" spans="1:14" x14ac:dyDescent="0.25">
      <c r="A88" s="54" t="s">
        <v>14</v>
      </c>
      <c r="B88" s="2">
        <v>1250</v>
      </c>
      <c r="C88" s="2">
        <v>1</v>
      </c>
      <c r="D88" s="2">
        <v>0</v>
      </c>
      <c r="F88" s="2">
        <v>0</v>
      </c>
      <c r="K88" s="2" t="s">
        <v>19</v>
      </c>
      <c r="M88" s="24"/>
    </row>
    <row r="89" spans="1:14" x14ac:dyDescent="0.25">
      <c r="A89" s="54" t="s">
        <v>15</v>
      </c>
      <c r="B89" s="2">
        <v>1250</v>
      </c>
      <c r="C89" s="2">
        <v>1</v>
      </c>
      <c r="D89" s="2">
        <v>0.66673000000000004</v>
      </c>
      <c r="F89" s="2">
        <v>0</v>
      </c>
      <c r="I89" s="2">
        <v>1</v>
      </c>
      <c r="K89" s="2">
        <v>0.42854999999999999</v>
      </c>
      <c r="L89" s="2">
        <f>Out!D89*In!M12</f>
        <v>247.70647675328647</v>
      </c>
      <c r="M89" s="24"/>
    </row>
    <row r="90" spans="1:14" x14ac:dyDescent="0.25">
      <c r="A90" s="54" t="s">
        <v>16</v>
      </c>
      <c r="B90" s="2">
        <v>1250</v>
      </c>
      <c r="C90" s="2">
        <v>1</v>
      </c>
      <c r="D90" s="2">
        <v>1</v>
      </c>
      <c r="F90" s="2">
        <v>0</v>
      </c>
      <c r="I90" s="2">
        <v>1</v>
      </c>
      <c r="L90" s="2">
        <f>Out!D90*In!M18</f>
        <v>55.827745320000041</v>
      </c>
      <c r="M90" s="24"/>
    </row>
    <row r="91" spans="1:14" x14ac:dyDescent="0.25">
      <c r="A91" s="23"/>
      <c r="B91" s="2" t="s">
        <v>20</v>
      </c>
      <c r="C91" s="2" t="s">
        <v>48</v>
      </c>
      <c r="D91" s="2">
        <v>-491064.9</v>
      </c>
      <c r="E91" s="2" t="s">
        <v>49</v>
      </c>
      <c r="F91" s="2">
        <v>95.445869999999999</v>
      </c>
      <c r="G91" s="2" t="s">
        <v>44</v>
      </c>
      <c r="L91" s="34">
        <f>SUM(L89:L90)</f>
        <v>303.53422207328651</v>
      </c>
      <c r="M91" s="24"/>
    </row>
    <row r="92" spans="1:14" x14ac:dyDescent="0.25">
      <c r="A92" s="23"/>
      <c r="B92" s="33" t="s">
        <v>16</v>
      </c>
      <c r="C92" s="2" t="s">
        <v>48</v>
      </c>
      <c r="D92" s="2">
        <v>-825602.1</v>
      </c>
      <c r="E92" s="2" t="s">
        <v>49</v>
      </c>
      <c r="F92" s="2">
        <v>148.1848</v>
      </c>
      <c r="M92" s="24"/>
    </row>
    <row r="93" spans="1:14" x14ac:dyDescent="0.25">
      <c r="A93" s="23"/>
      <c r="B93" s="33" t="s">
        <v>15</v>
      </c>
      <c r="C93" s="2" t="s">
        <v>48</v>
      </c>
      <c r="D93" s="2">
        <v>-576162.80000000005</v>
      </c>
      <c r="E93" s="2" t="s">
        <v>49</v>
      </c>
      <c r="F93" s="2">
        <v>316.69080000000002</v>
      </c>
      <c r="M93" s="24"/>
    </row>
    <row r="94" spans="1:14" ht="15.75" thickBot="1" x14ac:dyDescent="0.3">
      <c r="A94" s="28"/>
      <c r="B94" s="29"/>
      <c r="C94" s="29" t="s">
        <v>50</v>
      </c>
      <c r="D94" s="29">
        <v>-1655921</v>
      </c>
      <c r="E94" s="29" t="s">
        <v>51</v>
      </c>
      <c r="F94" s="29">
        <v>139.6301</v>
      </c>
      <c r="G94" s="29"/>
      <c r="H94" s="29"/>
      <c r="I94" s="29"/>
      <c r="J94" s="29"/>
      <c r="K94" s="29"/>
      <c r="L94" s="30">
        <f>(H118*In!M6+I18*In!M7+In!M8 )+((D92+D93-D94)-298.15*(F92+F93-F94))/1000</f>
        <v>303.57237634834024</v>
      </c>
      <c r="M94" s="35" t="s">
        <v>57</v>
      </c>
      <c r="N94" s="36"/>
    </row>
    <row r="95" spans="1:14" ht="15.75" thickBot="1" x14ac:dyDescent="0.3"/>
    <row r="96" spans="1:14" x14ac:dyDescent="0.25">
      <c r="A96" s="57" t="s">
        <v>10</v>
      </c>
      <c r="B96" s="21">
        <v>1250</v>
      </c>
      <c r="C96" s="21">
        <f>LOG(0.00001)</f>
        <v>-5</v>
      </c>
      <c r="D96" s="21">
        <v>1.3339000000000001</v>
      </c>
      <c r="E96" s="21"/>
      <c r="F96" s="21"/>
      <c r="G96" s="21"/>
      <c r="H96" s="21"/>
      <c r="I96" s="21"/>
      <c r="J96" s="21"/>
      <c r="K96" s="21"/>
      <c r="L96" s="21"/>
      <c r="M96" s="22"/>
    </row>
    <row r="97" spans="1:14" x14ac:dyDescent="0.25">
      <c r="A97" s="54" t="s">
        <v>12</v>
      </c>
      <c r="B97" s="2">
        <v>1250</v>
      </c>
      <c r="C97" s="2">
        <v>1</v>
      </c>
      <c r="D97" s="2">
        <v>0</v>
      </c>
      <c r="F97" s="2">
        <v>0</v>
      </c>
      <c r="M97" s="24"/>
    </row>
    <row r="98" spans="1:14" x14ac:dyDescent="0.25">
      <c r="A98" s="54" t="s">
        <v>13</v>
      </c>
      <c r="B98" s="2">
        <v>1250</v>
      </c>
      <c r="C98" s="2">
        <v>1</v>
      </c>
      <c r="D98" s="2">
        <v>0</v>
      </c>
      <c r="F98" s="2">
        <v>0</v>
      </c>
      <c r="M98" s="24"/>
    </row>
    <row r="99" spans="1:14" x14ac:dyDescent="0.25">
      <c r="A99" s="54" t="s">
        <v>14</v>
      </c>
      <c r="B99" s="2">
        <v>1250</v>
      </c>
      <c r="C99" s="2">
        <v>1</v>
      </c>
      <c r="D99" s="2">
        <v>0</v>
      </c>
      <c r="F99" s="2">
        <v>0</v>
      </c>
      <c r="K99" s="2" t="s">
        <v>19</v>
      </c>
      <c r="M99" s="24"/>
    </row>
    <row r="100" spans="1:14" x14ac:dyDescent="0.25">
      <c r="A100" s="54" t="s">
        <v>15</v>
      </c>
      <c r="B100" s="2">
        <v>1250</v>
      </c>
      <c r="C100" s="2">
        <v>1</v>
      </c>
      <c r="D100" s="2">
        <v>0.66696999999999995</v>
      </c>
      <c r="F100" s="2">
        <v>0</v>
      </c>
      <c r="I100" s="2">
        <v>1</v>
      </c>
      <c r="K100" s="2">
        <v>0.42846000000000001</v>
      </c>
      <c r="L100" s="2">
        <f>Out!D100*In!M12</f>
        <v>247.79564261416081</v>
      </c>
      <c r="M100" s="24"/>
    </row>
    <row r="101" spans="1:14" x14ac:dyDescent="0.25">
      <c r="A101" s="54" t="s">
        <v>16</v>
      </c>
      <c r="B101" s="2">
        <v>1250</v>
      </c>
      <c r="C101" s="2">
        <v>1</v>
      </c>
      <c r="D101" s="2">
        <v>1</v>
      </c>
      <c r="F101" s="2">
        <v>0</v>
      </c>
      <c r="I101" s="2">
        <v>1</v>
      </c>
      <c r="L101" s="2">
        <f>Out!D101*In!M18</f>
        <v>55.827745320000041</v>
      </c>
      <c r="M101" s="24"/>
    </row>
    <row r="102" spans="1:14" x14ac:dyDescent="0.25">
      <c r="A102" s="23"/>
      <c r="B102" s="2" t="s">
        <v>20</v>
      </c>
      <c r="C102" s="2" t="s">
        <v>48</v>
      </c>
      <c r="D102" s="2">
        <v>-491202.8</v>
      </c>
      <c r="E102" s="2" t="s">
        <v>49</v>
      </c>
      <c r="F102" s="2">
        <v>95.416390000000007</v>
      </c>
      <c r="G102" s="2" t="s">
        <v>44</v>
      </c>
      <c r="L102" s="34">
        <f>SUM(L100:L101)</f>
        <v>303.62338793416086</v>
      </c>
      <c r="M102" s="24"/>
    </row>
    <row r="103" spans="1:14" x14ac:dyDescent="0.25">
      <c r="A103" s="23"/>
      <c r="B103" s="33" t="s">
        <v>16</v>
      </c>
      <c r="C103" s="2" t="s">
        <v>48</v>
      </c>
      <c r="D103" s="2">
        <v>-825602.1</v>
      </c>
      <c r="E103" s="2" t="s">
        <v>49</v>
      </c>
      <c r="F103" s="2">
        <v>148.1848</v>
      </c>
      <c r="M103" s="24"/>
    </row>
    <row r="104" spans="1:14" x14ac:dyDescent="0.25">
      <c r="A104" s="23"/>
      <c r="B104" s="33" t="s">
        <v>15</v>
      </c>
      <c r="C104" s="2" t="s">
        <v>48</v>
      </c>
      <c r="D104" s="2">
        <v>-576300.6</v>
      </c>
      <c r="E104" s="2" t="s">
        <v>49</v>
      </c>
      <c r="F104" s="2">
        <v>316.75810000000001</v>
      </c>
      <c r="M104" s="24"/>
    </row>
    <row r="105" spans="1:14" ht="15.75" thickBot="1" x14ac:dyDescent="0.3">
      <c r="A105" s="28"/>
      <c r="B105" s="29"/>
      <c r="C105" s="29" t="s">
        <v>50</v>
      </c>
      <c r="D105" s="29">
        <v>-1656115</v>
      </c>
      <c r="E105" s="29" t="s">
        <v>51</v>
      </c>
      <c r="F105" s="29">
        <v>139.60499999999999</v>
      </c>
      <c r="G105" s="29"/>
      <c r="H105" s="29"/>
      <c r="I105" s="29"/>
      <c r="J105" s="29"/>
      <c r="K105" s="29"/>
      <c r="L105" s="30">
        <f>(H119*In!M6+I119*In!M7+In!M8 )+((D103+D104-D105)-298.15*(F103+F104-F105))/1000</f>
        <v>303.58604372311572</v>
      </c>
      <c r="M105" s="35" t="s">
        <v>57</v>
      </c>
      <c r="N105" s="36"/>
    </row>
    <row r="106" spans="1:14" ht="15.75" thickBot="1" x14ac:dyDescent="0.3"/>
    <row r="107" spans="1:14" x14ac:dyDescent="0.25">
      <c r="A107" s="51" t="s">
        <v>53</v>
      </c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3"/>
    </row>
    <row r="108" spans="1:14" x14ac:dyDescent="0.25">
      <c r="A108" s="54" t="s">
        <v>37</v>
      </c>
      <c r="B108" s="55" t="s">
        <v>36</v>
      </c>
      <c r="C108" s="55" t="s">
        <v>35</v>
      </c>
      <c r="D108" s="55" t="s">
        <v>34</v>
      </c>
      <c r="E108" s="55" t="s">
        <v>33</v>
      </c>
      <c r="F108" s="55"/>
      <c r="G108" s="55" t="s">
        <v>35</v>
      </c>
      <c r="H108" s="55" t="s">
        <v>40</v>
      </c>
      <c r="I108" s="55" t="s">
        <v>41</v>
      </c>
      <c r="J108" s="55" t="s">
        <v>34</v>
      </c>
      <c r="K108" s="55" t="s">
        <v>38</v>
      </c>
      <c r="L108" s="56" t="s">
        <v>39</v>
      </c>
    </row>
    <row r="109" spans="1:14" x14ac:dyDescent="0.25">
      <c r="A109" s="54"/>
      <c r="L109" s="24"/>
    </row>
    <row r="110" spans="1:14" x14ac:dyDescent="0.25">
      <c r="A110" s="54">
        <v>25</v>
      </c>
      <c r="B110" s="2">
        <v>1</v>
      </c>
      <c r="C110" s="2">
        <v>2</v>
      </c>
      <c r="D110" s="2">
        <v>1</v>
      </c>
      <c r="E110" s="2">
        <v>1.0134000000000001</v>
      </c>
      <c r="G110" s="37">
        <v>0.47989999999999999</v>
      </c>
      <c r="H110" s="37">
        <v>0.50670000000000004</v>
      </c>
      <c r="I110" s="2">
        <v>0</v>
      </c>
      <c r="J110" s="2">
        <v>1</v>
      </c>
      <c r="K110" s="2">
        <v>-1477044</v>
      </c>
      <c r="L110" s="24">
        <v>129.1737</v>
      </c>
    </row>
    <row r="111" spans="1:14" x14ac:dyDescent="0.25">
      <c r="A111" s="54">
        <v>25</v>
      </c>
      <c r="B111" s="2">
        <v>1</v>
      </c>
      <c r="C111" s="2">
        <v>2</v>
      </c>
      <c r="D111" s="2">
        <v>1</v>
      </c>
      <c r="E111" s="2">
        <v>1.0226999999999999</v>
      </c>
      <c r="G111" s="37">
        <v>0.46594999999999998</v>
      </c>
      <c r="H111" s="37">
        <v>0.51134999999999997</v>
      </c>
      <c r="I111" s="2">
        <v>0</v>
      </c>
      <c r="J111" s="2">
        <v>1</v>
      </c>
      <c r="K111" s="2">
        <v>-1482242</v>
      </c>
      <c r="L111" s="24">
        <v>129.47790000000001</v>
      </c>
    </row>
    <row r="112" spans="1:14" x14ac:dyDescent="0.25">
      <c r="A112" s="54">
        <v>25</v>
      </c>
      <c r="B112" s="2">
        <v>1</v>
      </c>
      <c r="C112" s="2">
        <v>2</v>
      </c>
      <c r="D112" s="2">
        <v>1</v>
      </c>
      <c r="E112" s="2">
        <v>1.0378000000000001</v>
      </c>
      <c r="G112" s="37">
        <v>0.44330000000000003</v>
      </c>
      <c r="H112" s="37">
        <v>0.51890000000000003</v>
      </c>
      <c r="I112" s="2">
        <v>0</v>
      </c>
      <c r="J112" s="2">
        <v>1</v>
      </c>
      <c r="K112" s="2">
        <v>-1490680</v>
      </c>
      <c r="L112" s="24">
        <v>129.97190000000001</v>
      </c>
    </row>
    <row r="113" spans="1:12" x14ac:dyDescent="0.25">
      <c r="A113" s="54">
        <v>25</v>
      </c>
      <c r="B113" s="2">
        <v>1</v>
      </c>
      <c r="C113" s="2">
        <v>2</v>
      </c>
      <c r="D113" s="2">
        <v>1</v>
      </c>
      <c r="E113" s="2">
        <v>1.0612999999999999</v>
      </c>
      <c r="G113" s="37">
        <v>0.40805000000000002</v>
      </c>
      <c r="H113" s="37">
        <v>0.53064999999999996</v>
      </c>
      <c r="I113" s="2">
        <v>0</v>
      </c>
      <c r="J113" s="2">
        <v>1</v>
      </c>
      <c r="K113" s="2">
        <v>-1503813</v>
      </c>
      <c r="L113" s="24">
        <v>130.74080000000001</v>
      </c>
    </row>
    <row r="114" spans="1:12" x14ac:dyDescent="0.25">
      <c r="A114" s="54">
        <v>25</v>
      </c>
      <c r="B114" s="2">
        <v>1</v>
      </c>
      <c r="C114" s="2">
        <v>2</v>
      </c>
      <c r="D114" s="2">
        <v>1</v>
      </c>
      <c r="E114" s="2">
        <v>1.0955999999999999</v>
      </c>
      <c r="G114" s="37">
        <v>0.35659999999999997</v>
      </c>
      <c r="H114" s="37">
        <v>0.54779999999999995</v>
      </c>
      <c r="I114" s="2">
        <v>0</v>
      </c>
      <c r="J114" s="2">
        <v>1</v>
      </c>
      <c r="K114" s="2">
        <v>-1522982</v>
      </c>
      <c r="L114" s="24">
        <v>131.8629</v>
      </c>
    </row>
    <row r="115" spans="1:12" x14ac:dyDescent="0.25">
      <c r="A115" s="54">
        <v>25</v>
      </c>
      <c r="B115" s="2">
        <v>1</v>
      </c>
      <c r="C115" s="2">
        <v>2</v>
      </c>
      <c r="D115" s="2">
        <v>1</v>
      </c>
      <c r="E115" s="2">
        <v>1.0992</v>
      </c>
      <c r="G115" s="37">
        <v>0.35120000000000001</v>
      </c>
      <c r="H115" s="37">
        <v>0.54959999999999998</v>
      </c>
      <c r="I115" s="2">
        <v>0</v>
      </c>
      <c r="J115" s="2">
        <v>1</v>
      </c>
      <c r="K115" s="2">
        <v>-1524994</v>
      </c>
      <c r="L115" s="24">
        <v>131.98070000000001</v>
      </c>
    </row>
    <row r="116" spans="1:12" x14ac:dyDescent="0.25">
      <c r="A116" s="54">
        <v>25</v>
      </c>
      <c r="B116" s="2">
        <v>1</v>
      </c>
      <c r="C116" s="2">
        <v>2</v>
      </c>
      <c r="D116" s="2">
        <v>1</v>
      </c>
      <c r="E116" s="2">
        <v>1.1335</v>
      </c>
      <c r="G116" s="37">
        <v>0.29975000000000002</v>
      </c>
      <c r="H116" s="37">
        <v>0.56674999999999998</v>
      </c>
      <c r="I116" s="2">
        <v>0</v>
      </c>
      <c r="J116" s="2">
        <v>1</v>
      </c>
      <c r="K116" s="2">
        <v>-1544163</v>
      </c>
      <c r="L116" s="24">
        <v>133.1028</v>
      </c>
    </row>
    <row r="117" spans="1:12" x14ac:dyDescent="0.25">
      <c r="A117" s="54">
        <v>25</v>
      </c>
      <c r="B117" s="2">
        <v>1</v>
      </c>
      <c r="C117" s="2">
        <v>2</v>
      </c>
      <c r="D117" s="2">
        <v>1</v>
      </c>
      <c r="E117" s="2">
        <v>1.3333999999999999</v>
      </c>
      <c r="G117" s="2">
        <v>0</v>
      </c>
      <c r="H117" s="37">
        <v>0.66639999999999999</v>
      </c>
      <c r="I117" s="37">
        <v>4.0000000000000002E-4</v>
      </c>
      <c r="J117" s="2">
        <v>1</v>
      </c>
      <c r="K117" s="2">
        <v>-1655873</v>
      </c>
      <c r="L117" s="24">
        <v>139.63640000000001</v>
      </c>
    </row>
    <row r="118" spans="1:12" x14ac:dyDescent="0.25">
      <c r="A118" s="54">
        <v>25</v>
      </c>
      <c r="B118" s="2">
        <v>1</v>
      </c>
      <c r="C118" s="2">
        <v>2</v>
      </c>
      <c r="D118" s="2">
        <v>1</v>
      </c>
      <c r="E118" s="2">
        <v>1.3334999999999999</v>
      </c>
      <c r="G118" s="2">
        <v>0</v>
      </c>
      <c r="H118" s="37">
        <v>0.66600000000000004</v>
      </c>
      <c r="I118" s="37">
        <v>1E-3</v>
      </c>
      <c r="J118" s="2">
        <v>1</v>
      </c>
      <c r="K118" s="2">
        <v>-1655921</v>
      </c>
      <c r="L118" s="24">
        <v>139.6301</v>
      </c>
    </row>
    <row r="119" spans="1:12" ht="15.75" thickBot="1" x14ac:dyDescent="0.3">
      <c r="A119" s="65">
        <v>25</v>
      </c>
      <c r="B119" s="29">
        <v>1</v>
      </c>
      <c r="C119" s="29">
        <v>2</v>
      </c>
      <c r="D119" s="29">
        <v>1</v>
      </c>
      <c r="E119" s="29">
        <v>1.3339000000000001</v>
      </c>
      <c r="F119" s="29"/>
      <c r="G119" s="29">
        <v>0</v>
      </c>
      <c r="H119" s="38">
        <v>0.66439999999999999</v>
      </c>
      <c r="I119" s="38">
        <v>3.3999999999999998E-3</v>
      </c>
      <c r="J119" s="29">
        <v>1</v>
      </c>
      <c r="K119" s="29">
        <v>-1656115</v>
      </c>
      <c r="L119" s="31">
        <v>139.60499999999999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CCAB-AD21-4583-BAFF-A9C672CCE727}">
  <dimension ref="B1:S43"/>
  <sheetViews>
    <sheetView tabSelected="1" topLeftCell="A12" workbookViewId="0">
      <selection activeCell="B44" sqref="B44"/>
    </sheetView>
  </sheetViews>
  <sheetFormatPr defaultColWidth="11.42578125" defaultRowHeight="15" x14ac:dyDescent="0.25"/>
  <cols>
    <col min="1" max="1" width="11.42578125" style="6"/>
    <col min="2" max="2" width="27.85546875" style="6" customWidth="1"/>
    <col min="3" max="3" width="11.42578125" style="6"/>
    <col min="4" max="4" width="12.5703125" style="6" bestFit="1" customWidth="1"/>
    <col min="5" max="5" width="13.5703125" style="6" bestFit="1" customWidth="1"/>
    <col min="6" max="6" width="12.5703125" style="6" bestFit="1" customWidth="1"/>
    <col min="7" max="7" width="12.42578125" style="6" bestFit="1" customWidth="1"/>
    <col min="8" max="8" width="20.7109375" style="6" customWidth="1"/>
    <col min="9" max="9" width="7.7109375" style="6" bestFit="1" customWidth="1"/>
    <col min="10" max="10" width="12.5703125" style="6" bestFit="1" customWidth="1"/>
    <col min="11" max="12" width="11.5703125" style="6" bestFit="1" customWidth="1"/>
    <col min="13" max="14" width="11.42578125" style="6"/>
    <col min="15" max="15" width="18" style="6" bestFit="1" customWidth="1"/>
    <col min="16" max="16" width="23" style="6" bestFit="1" customWidth="1"/>
    <col min="17" max="17" width="20.28515625" style="6" bestFit="1" customWidth="1"/>
    <col min="18" max="18" width="19.42578125" style="6" bestFit="1" customWidth="1"/>
    <col min="19" max="19" width="15" style="6" bestFit="1" customWidth="1"/>
    <col min="20" max="16384" width="11.42578125" style="6"/>
  </cols>
  <sheetData>
    <row r="1" spans="2:18" x14ac:dyDescent="0.25">
      <c r="B1" s="44" t="s">
        <v>60</v>
      </c>
      <c r="C1" s="67"/>
      <c r="D1" s="67"/>
      <c r="E1" s="67"/>
      <c r="F1" s="67"/>
      <c r="G1" s="67"/>
      <c r="H1" s="68"/>
    </row>
    <row r="2" spans="2:18" ht="15.75" thickBot="1" x14ac:dyDescent="0.3">
      <c r="B2" s="49"/>
      <c r="C2" s="69"/>
      <c r="D2" s="69"/>
      <c r="E2" s="69"/>
      <c r="F2" s="69"/>
      <c r="G2" s="69"/>
      <c r="H2" s="70"/>
    </row>
    <row r="3" spans="2:18" ht="18" x14ac:dyDescent="0.25">
      <c r="B3" s="49" t="s">
        <v>59</v>
      </c>
      <c r="C3" s="69" t="s">
        <v>82</v>
      </c>
      <c r="D3" s="69" t="s">
        <v>62</v>
      </c>
      <c r="E3" s="69" t="s">
        <v>71</v>
      </c>
      <c r="F3" s="69" t="s">
        <v>73</v>
      </c>
      <c r="G3" s="69"/>
      <c r="H3" s="70" t="s">
        <v>75</v>
      </c>
      <c r="O3" s="50" t="s">
        <v>100</v>
      </c>
      <c r="P3" s="45" t="s">
        <v>92</v>
      </c>
      <c r="Q3" s="45" t="s">
        <v>93</v>
      </c>
      <c r="R3" s="46" t="s">
        <v>94</v>
      </c>
    </row>
    <row r="4" spans="2:18" x14ac:dyDescent="0.25">
      <c r="B4" s="39">
        <v>1.0134000000000001</v>
      </c>
      <c r="C4" s="6">
        <v>-11</v>
      </c>
      <c r="D4" s="6">
        <f>2*In!M2+B4*In!M3+In!M8</f>
        <v>755.06977563999999</v>
      </c>
      <c r="E4" s="6">
        <f>Out!D8/1000</f>
        <v>-239.32129999999998</v>
      </c>
      <c r="F4" s="6" t="s">
        <v>21</v>
      </c>
      <c r="H4" s="40">
        <f>D4-E4</f>
        <v>994.39107563999994</v>
      </c>
      <c r="O4" s="39" t="s">
        <v>91</v>
      </c>
      <c r="P4" s="6" t="s">
        <v>76</v>
      </c>
      <c r="Q4" s="6" t="s">
        <v>90</v>
      </c>
      <c r="R4" s="40" t="s">
        <v>76</v>
      </c>
    </row>
    <row r="5" spans="2:18" x14ac:dyDescent="0.25">
      <c r="B5" s="39">
        <v>1.0226999999999999</v>
      </c>
      <c r="C5" s="6">
        <v>-10</v>
      </c>
      <c r="D5" s="6">
        <f>2*In!M2+B5*In!M3+In!M8</f>
        <v>755.10574803999998</v>
      </c>
      <c r="E5" s="6">
        <f>Out!D18/1000</f>
        <v>-244.16050000000001</v>
      </c>
      <c r="F5" s="6" t="s">
        <v>21</v>
      </c>
      <c r="H5" s="40">
        <f t="shared" ref="H5:H13" si="0">D5-E5</f>
        <v>999.26624803999994</v>
      </c>
      <c r="O5" s="39">
        <v>-11</v>
      </c>
      <c r="P5" s="6">
        <f>E4</f>
        <v>-239.32129999999998</v>
      </c>
      <c r="Q5" s="6">
        <v>0.8</v>
      </c>
      <c r="R5" s="40">
        <f>H20</f>
        <v>192.47519449824372</v>
      </c>
    </row>
    <row r="6" spans="2:18" x14ac:dyDescent="0.25">
      <c r="B6" s="39">
        <v>1.0378000000000001</v>
      </c>
      <c r="C6" s="6">
        <v>-9</v>
      </c>
      <c r="D6" s="6">
        <f>2*In!M2+B6*In!M3+In!M8</f>
        <v>755.16415484000004</v>
      </c>
      <c r="E6" s="6">
        <f>Out!D28/1000</f>
        <v>-251.89529999999999</v>
      </c>
      <c r="F6" s="6" t="s">
        <v>21</v>
      </c>
      <c r="H6" s="40">
        <f t="shared" si="0"/>
        <v>1007.0594548400001</v>
      </c>
      <c r="O6" s="39">
        <v>-7</v>
      </c>
      <c r="P6" s="6">
        <f>E9</f>
        <v>-283.82209999999998</v>
      </c>
      <c r="Q6" s="6">
        <v>0.8</v>
      </c>
      <c r="R6" s="40">
        <f>H25</f>
        <v>228.26515609099559</v>
      </c>
    </row>
    <row r="7" spans="2:18" ht="15.75" thickBot="1" x14ac:dyDescent="0.3">
      <c r="B7" s="39">
        <v>1.0612999999999999</v>
      </c>
      <c r="C7" s="6">
        <v>-8</v>
      </c>
      <c r="D7" s="6">
        <f>2*In!M2+B7*In!M3+In!M8</f>
        <v>755.25505283999996</v>
      </c>
      <c r="E7" s="6">
        <f>Out!D38/1000</f>
        <v>-263.88840000000005</v>
      </c>
      <c r="F7" s="6" t="s">
        <v>21</v>
      </c>
      <c r="H7" s="40">
        <f t="shared" si="0"/>
        <v>1019.14345284</v>
      </c>
      <c r="O7" s="41">
        <v>-5</v>
      </c>
      <c r="P7" s="42">
        <f>E13</f>
        <v>-491.20279999999997</v>
      </c>
      <c r="Q7" s="42">
        <v>0.8</v>
      </c>
      <c r="R7" s="43">
        <f>H29</f>
        <v>395.05198437448701</v>
      </c>
    </row>
    <row r="8" spans="2:18" x14ac:dyDescent="0.25">
      <c r="B8" s="39">
        <v>1.0955999999999999</v>
      </c>
      <c r="C8" s="6">
        <v>-7.0380049724146412</v>
      </c>
      <c r="D8" s="6">
        <f>2*In!M2+B8*In!M3+In!M8</f>
        <v>755.38772524000001</v>
      </c>
      <c r="E8" s="6">
        <f>Out!D48/1000</f>
        <v>-281.10649999999998</v>
      </c>
      <c r="F8" s="6" t="s">
        <v>21</v>
      </c>
      <c r="H8" s="40">
        <f t="shared" si="0"/>
        <v>1036.4942252400001</v>
      </c>
    </row>
    <row r="9" spans="2:18" ht="15.75" thickBot="1" x14ac:dyDescent="0.3">
      <c r="B9" s="39">
        <v>1.0992</v>
      </c>
      <c r="C9" s="6">
        <v>-7</v>
      </c>
      <c r="D9" s="6">
        <f>2*In!M2+B9*In!M8+In!M8</f>
        <v>753.95284336844804</v>
      </c>
      <c r="E9" s="6">
        <f>Out!D58/1000</f>
        <v>-283.82209999999998</v>
      </c>
      <c r="F9" s="6" t="s">
        <v>70</v>
      </c>
      <c r="H9" s="40">
        <f t="shared" si="0"/>
        <v>1037.774943368448</v>
      </c>
    </row>
    <row r="10" spans="2:18" ht="18" x14ac:dyDescent="0.25">
      <c r="B10" s="39">
        <v>1.1335</v>
      </c>
      <c r="C10" s="6">
        <v>-6.6102847475282323</v>
      </c>
      <c r="D10" s="6">
        <f>2*In!M2+B10*In!M3+In!M8</f>
        <v>755.53432243999998</v>
      </c>
      <c r="E10" s="6">
        <f>Out!D69/1000</f>
        <v>-309.1395</v>
      </c>
      <c r="F10" s="6" t="s">
        <v>70</v>
      </c>
      <c r="H10" s="40">
        <f t="shared" si="0"/>
        <v>1064.6738224400001</v>
      </c>
      <c r="O10" s="50" t="s">
        <v>100</v>
      </c>
      <c r="P10" s="45" t="s">
        <v>95</v>
      </c>
      <c r="Q10" s="45" t="s">
        <v>96</v>
      </c>
      <c r="R10" s="46" t="s">
        <v>101</v>
      </c>
    </row>
    <row r="11" spans="2:18" x14ac:dyDescent="0.25">
      <c r="B11" s="39">
        <v>1.3333999999999999</v>
      </c>
      <c r="C11" s="6">
        <v>-6.6102847475282323</v>
      </c>
      <c r="D11" s="6">
        <f>2*In!M2+B11*In!M3+In!M8</f>
        <v>756.30753563999997</v>
      </c>
      <c r="E11" s="6">
        <f>Out!D80/1000</f>
        <v>-491.04159999999996</v>
      </c>
      <c r="F11" s="6" t="s">
        <v>66</v>
      </c>
      <c r="H11" s="40">
        <f t="shared" si="0"/>
        <v>1247.34913564</v>
      </c>
      <c r="O11" s="39" t="s">
        <v>91</v>
      </c>
      <c r="P11" s="6" t="s">
        <v>90</v>
      </c>
      <c r="Q11" s="6" t="s">
        <v>97</v>
      </c>
      <c r="R11" s="40" t="s">
        <v>76</v>
      </c>
    </row>
    <row r="12" spans="2:18" ht="18" x14ac:dyDescent="0.25">
      <c r="B12" s="39">
        <v>1.3334999999999999</v>
      </c>
      <c r="C12" s="6">
        <v>-6</v>
      </c>
      <c r="D12" s="6">
        <f>2*In!M2+B12*In!M3+In!M8</f>
        <v>756.30792243999997</v>
      </c>
      <c r="E12" s="6">
        <f>Out!D91/1000</f>
        <v>-491.06490000000002</v>
      </c>
      <c r="F12" s="6" t="s">
        <v>66</v>
      </c>
      <c r="H12" s="40">
        <f t="shared" si="0"/>
        <v>1247.3728224399999</v>
      </c>
      <c r="O12" s="39">
        <v>-11</v>
      </c>
      <c r="P12" s="6" t="s">
        <v>102</v>
      </c>
      <c r="Q12" s="6">
        <v>-147.70439999999999</v>
      </c>
      <c r="R12" s="40">
        <v>0.1291737</v>
      </c>
    </row>
    <row r="13" spans="2:18" ht="18.75" thickBot="1" x14ac:dyDescent="0.3">
      <c r="B13" s="41">
        <v>1.3339000000000001</v>
      </c>
      <c r="C13" s="42">
        <v>-5</v>
      </c>
      <c r="D13" s="42">
        <f>2*In!M2+B13*In!M3+In!M8</f>
        <v>756.30946963999997</v>
      </c>
      <c r="E13" s="42">
        <f>Out!D102/1000</f>
        <v>-491.20279999999997</v>
      </c>
      <c r="F13" s="42" t="s">
        <v>66</v>
      </c>
      <c r="G13" s="42"/>
      <c r="H13" s="43">
        <f t="shared" si="0"/>
        <v>1247.5122696399999</v>
      </c>
      <c r="O13" s="39">
        <v>-7</v>
      </c>
      <c r="P13" s="6" t="s">
        <v>102</v>
      </c>
      <c r="Q13" s="6">
        <v>-1524.9939999999999</v>
      </c>
      <c r="R13" s="40">
        <v>0.13198070000000001</v>
      </c>
    </row>
    <row r="14" spans="2:18" ht="18.75" thickBot="1" x14ac:dyDescent="0.3">
      <c r="O14" s="41">
        <v>-5</v>
      </c>
      <c r="P14" s="42" t="s">
        <v>103</v>
      </c>
      <c r="Q14" s="42">
        <v>-1656.115</v>
      </c>
      <c r="R14" s="43">
        <v>0.13960500000000001</v>
      </c>
    </row>
    <row r="16" spans="2:18" ht="15.75" thickBot="1" x14ac:dyDescent="0.3"/>
    <row r="17" spans="2:19" x14ac:dyDescent="0.25">
      <c r="B17" s="50" t="s">
        <v>61</v>
      </c>
      <c r="C17" s="45"/>
      <c r="D17" s="45"/>
      <c r="E17" s="45"/>
      <c r="F17" s="45"/>
      <c r="G17" s="45"/>
      <c r="H17" s="45"/>
      <c r="I17" s="45"/>
      <c r="J17" s="45"/>
      <c r="K17" s="45"/>
      <c r="L17" s="46"/>
    </row>
    <row r="18" spans="2:19" ht="15.75" thickBot="1" x14ac:dyDescent="0.3">
      <c r="B18" s="66"/>
      <c r="C18" s="47"/>
      <c r="D18" s="47" t="s">
        <v>67</v>
      </c>
      <c r="E18" s="47" t="s">
        <v>68</v>
      </c>
      <c r="F18" s="47" t="s">
        <v>69</v>
      </c>
      <c r="G18" s="47"/>
      <c r="H18" s="47" t="s">
        <v>78</v>
      </c>
      <c r="I18" s="47" t="s">
        <v>77</v>
      </c>
      <c r="J18" s="47"/>
      <c r="K18" s="47"/>
      <c r="L18" s="48"/>
    </row>
    <row r="19" spans="2:19" ht="18" x14ac:dyDescent="0.25">
      <c r="B19" s="66" t="s">
        <v>59</v>
      </c>
      <c r="C19" s="47" t="s">
        <v>82</v>
      </c>
      <c r="D19" s="47" t="s">
        <v>63</v>
      </c>
      <c r="E19" s="47" t="s">
        <v>64</v>
      </c>
      <c r="F19" s="47" t="s">
        <v>65</v>
      </c>
      <c r="G19" s="47" t="s">
        <v>72</v>
      </c>
      <c r="H19" s="47" t="s">
        <v>76</v>
      </c>
      <c r="I19" s="47">
        <f>(1523.15-298.15)/1523.15</f>
        <v>0.80425434133210771</v>
      </c>
      <c r="J19" s="47" t="s">
        <v>79</v>
      </c>
      <c r="K19" s="47" t="s">
        <v>80</v>
      </c>
      <c r="L19" s="48" t="s">
        <v>81</v>
      </c>
      <c r="O19" s="50" t="s">
        <v>100</v>
      </c>
      <c r="P19" s="45" t="s">
        <v>104</v>
      </c>
      <c r="Q19" s="45" t="s">
        <v>108</v>
      </c>
      <c r="R19" s="45" t="s">
        <v>107</v>
      </c>
      <c r="S19" s="46" t="s">
        <v>105</v>
      </c>
    </row>
    <row r="20" spans="2:19" x14ac:dyDescent="0.25">
      <c r="B20" s="39">
        <v>1.0134000000000001</v>
      </c>
      <c r="C20" s="6">
        <v>-11</v>
      </c>
      <c r="D20" s="6">
        <f>Out!L6</f>
        <v>540.4799222889726</v>
      </c>
      <c r="E20" s="6">
        <f>Out!M6</f>
        <v>479.88939646922404</v>
      </c>
      <c r="F20" s="6">
        <f>Out!L10</f>
        <v>504.33212157793309</v>
      </c>
      <c r="G20" s="6" t="s">
        <v>21</v>
      </c>
      <c r="H20" s="6">
        <f>-$I19*E4</f>
        <v>192.47519449824372</v>
      </c>
      <c r="J20" s="6">
        <f>D20+H20</f>
        <v>732.9551167872163</v>
      </c>
      <c r="K20" s="6">
        <f>E20+H20</f>
        <v>672.36459096746773</v>
      </c>
      <c r="L20" s="40">
        <f>F20+H20</f>
        <v>696.80731607617679</v>
      </c>
      <c r="O20" s="39" t="s">
        <v>91</v>
      </c>
      <c r="P20" s="6" t="s">
        <v>76</v>
      </c>
      <c r="Q20" s="6" t="s">
        <v>76</v>
      </c>
      <c r="R20" s="6" t="s">
        <v>76</v>
      </c>
      <c r="S20" s="40" t="s">
        <v>76</v>
      </c>
    </row>
    <row r="21" spans="2:19" x14ac:dyDescent="0.25">
      <c r="B21" s="39">
        <v>1.0226999999999999</v>
      </c>
      <c r="C21" s="6">
        <v>-10</v>
      </c>
      <c r="D21" s="6">
        <f>Out!L16</f>
        <v>538.85896299986905</v>
      </c>
      <c r="E21" s="6">
        <f>Out!M16</f>
        <v>487.57734895630875</v>
      </c>
      <c r="F21" s="6">
        <f>Out!L20</f>
        <v>500.31003349638661</v>
      </c>
      <c r="G21" s="6" t="s">
        <v>21</v>
      </c>
      <c r="H21" s="6">
        <f>-I$19*E5</f>
        <v>196.36714210681811</v>
      </c>
      <c r="J21" s="6">
        <f t="shared" ref="J21:J29" si="1">D21+H21</f>
        <v>735.2261051066871</v>
      </c>
      <c r="K21" s="6">
        <f t="shared" ref="K21:K26" si="2">E21+H21</f>
        <v>683.94449106312686</v>
      </c>
      <c r="L21" s="40">
        <f t="shared" ref="L21:L29" si="3">F21+H21</f>
        <v>696.67717560320466</v>
      </c>
      <c r="O21" s="39">
        <v>-11</v>
      </c>
      <c r="P21" s="6">
        <f>D4</f>
        <v>755.06977563999999</v>
      </c>
      <c r="Q21" s="6">
        <f>K20</f>
        <v>672.36459096746773</v>
      </c>
      <c r="R21" s="6">
        <f>J20</f>
        <v>732.9551167872163</v>
      </c>
      <c r="S21" s="40">
        <f>L20</f>
        <v>696.80731607617679</v>
      </c>
    </row>
    <row r="22" spans="2:19" x14ac:dyDescent="0.25">
      <c r="B22" s="39">
        <v>1.0378000000000001</v>
      </c>
      <c r="C22" s="6">
        <v>-9</v>
      </c>
      <c r="D22" s="6">
        <f>Out!L26</f>
        <v>541.97560879694902</v>
      </c>
      <c r="E22" s="6">
        <f>Out!M26</f>
        <v>480.89582032557007</v>
      </c>
      <c r="F22" s="6">
        <f>Out!L30</f>
        <v>493.97935031581113</v>
      </c>
      <c r="G22" s="6" t="s">
        <v>21</v>
      </c>
      <c r="H22" s="6">
        <f t="shared" ref="H22:H29" si="4">-I$19*E6</f>
        <v>202.58788858615367</v>
      </c>
      <c r="J22" s="6">
        <f t="shared" si="1"/>
        <v>744.56349738310269</v>
      </c>
      <c r="K22" s="6">
        <f t="shared" si="2"/>
        <v>683.48370891172374</v>
      </c>
      <c r="L22" s="40">
        <f t="shared" si="3"/>
        <v>696.56723890196486</v>
      </c>
      <c r="O22" s="39">
        <v>-7</v>
      </c>
      <c r="P22" s="6">
        <f>D9</f>
        <v>753.95284336844804</v>
      </c>
      <c r="Q22" s="6">
        <f>K24</f>
        <v>680.69789506385212</v>
      </c>
      <c r="R22" s="6">
        <f>J25</f>
        <v>742.23528194531707</v>
      </c>
      <c r="S22" s="40">
        <f>L25</f>
        <v>696.65068003824967</v>
      </c>
    </row>
    <row r="23" spans="2:19" ht="15.75" thickBot="1" x14ac:dyDescent="0.3">
      <c r="B23" s="39">
        <v>1.0612999999999999</v>
      </c>
      <c r="C23" s="6">
        <v>-8</v>
      </c>
      <c r="D23" s="6">
        <f>Out!L36</f>
        <v>537.53227298274408</v>
      </c>
      <c r="E23" s="6">
        <f>Out!M36</f>
        <v>475.98214121859951</v>
      </c>
      <c r="F23" s="6">
        <f>Out!L40</f>
        <v>484.27596296819365</v>
      </c>
      <c r="G23" s="6" t="s">
        <v>21</v>
      </c>
      <c r="H23" s="6">
        <f t="shared" si="4"/>
        <v>212.23339132718382</v>
      </c>
      <c r="J23" s="6">
        <f t="shared" si="1"/>
        <v>749.76566430992784</v>
      </c>
      <c r="K23" s="6">
        <f t="shared" si="2"/>
        <v>688.21553254578339</v>
      </c>
      <c r="L23" s="40">
        <f t="shared" si="3"/>
        <v>696.50935429537753</v>
      </c>
      <c r="O23" s="41">
        <v>-5</v>
      </c>
      <c r="P23" s="42">
        <f>D13</f>
        <v>756.30946963999997</v>
      </c>
      <c r="Q23" s="42" t="s">
        <v>98</v>
      </c>
      <c r="R23" s="42">
        <f>J29</f>
        <v>698.67537230864787</v>
      </c>
      <c r="S23" s="43">
        <f>L29</f>
        <v>698.63802809760273</v>
      </c>
    </row>
    <row r="24" spans="2:19" x14ac:dyDescent="0.25">
      <c r="B24" s="39">
        <v>1.0955999999999999</v>
      </c>
      <c r="C24" s="6">
        <v>-7.0380049724146412</v>
      </c>
      <c r="D24" s="6">
        <f>Out!L46</f>
        <v>516.85265705052109</v>
      </c>
      <c r="E24" s="6">
        <f>Out!M46</f>
        <v>454.61677206217803</v>
      </c>
      <c r="F24" s="6">
        <f>Out!L50</f>
        <v>470.54738212152211</v>
      </c>
      <c r="G24" s="6" t="s">
        <v>21</v>
      </c>
      <c r="H24" s="6">
        <f t="shared" si="4"/>
        <v>226.08112300167411</v>
      </c>
      <c r="J24" s="6">
        <f t="shared" si="1"/>
        <v>742.93378005219517</v>
      </c>
      <c r="K24" s="6">
        <f t="shared" si="2"/>
        <v>680.69789506385212</v>
      </c>
      <c r="L24" s="40">
        <f t="shared" si="3"/>
        <v>696.62850512319619</v>
      </c>
    </row>
    <row r="25" spans="2:19" x14ac:dyDescent="0.25">
      <c r="B25" s="39">
        <v>1.0992</v>
      </c>
      <c r="C25" s="6">
        <v>-7</v>
      </c>
      <c r="D25" s="6">
        <f>Out!L57</f>
        <v>513.97012585432151</v>
      </c>
      <c r="E25" s="6">
        <f>Out!M57</f>
        <v>452.43152211757848</v>
      </c>
      <c r="F25" s="6">
        <f>Out!L61</f>
        <v>468.38552394725411</v>
      </c>
      <c r="G25" s="6" t="s">
        <v>70</v>
      </c>
      <c r="H25" s="6">
        <f t="shared" si="4"/>
        <v>228.26515609099559</v>
      </c>
      <c r="J25" s="6">
        <f t="shared" si="1"/>
        <v>742.23528194531707</v>
      </c>
      <c r="K25" s="6">
        <f t="shared" si="2"/>
        <v>680.6966782085741</v>
      </c>
      <c r="L25" s="40">
        <f t="shared" si="3"/>
        <v>696.65068003824967</v>
      </c>
    </row>
    <row r="26" spans="2:19" ht="15.75" thickBot="1" x14ac:dyDescent="0.3">
      <c r="B26" s="39">
        <v>1.1335</v>
      </c>
      <c r="C26" s="6">
        <v>-6.6102847475282323</v>
      </c>
      <c r="D26" s="6">
        <f>Out!L68</f>
        <v>487.09072225758939</v>
      </c>
      <c r="E26" s="6">
        <f>Out!M68</f>
        <v>431.81227059506307</v>
      </c>
      <c r="F26" s="6">
        <f>Out!L72</f>
        <v>448.27720499483263</v>
      </c>
      <c r="G26" s="6" t="s">
        <v>70</v>
      </c>
      <c r="H26" s="6">
        <f t="shared" si="4"/>
        <v>248.6267849522371</v>
      </c>
      <c r="J26" s="6">
        <f t="shared" si="1"/>
        <v>735.71750720982652</v>
      </c>
      <c r="K26" s="6">
        <f t="shared" si="2"/>
        <v>680.4390555473002</v>
      </c>
      <c r="L26" s="40">
        <f t="shared" si="3"/>
        <v>696.9039899470697</v>
      </c>
    </row>
    <row r="27" spans="2:19" ht="18" x14ac:dyDescent="0.25">
      <c r="B27" s="39">
        <v>1.3333999999999999</v>
      </c>
      <c r="C27" s="6">
        <v>-6.6102847475282323</v>
      </c>
      <c r="D27" s="6">
        <f>Out!L80</f>
        <v>303.51936109647409</v>
      </c>
      <c r="F27" s="6">
        <f>Out!L83</f>
        <v>303.67865141154306</v>
      </c>
      <c r="G27" s="6" t="s">
        <v>66</v>
      </c>
      <c r="H27" s="6">
        <f t="shared" si="4"/>
        <v>394.92233857466425</v>
      </c>
      <c r="J27" s="6">
        <f t="shared" si="1"/>
        <v>698.44169967113839</v>
      </c>
      <c r="L27" s="40">
        <f t="shared" si="3"/>
        <v>698.60098998620731</v>
      </c>
      <c r="O27" s="50" t="s">
        <v>100</v>
      </c>
      <c r="P27" s="45" t="s">
        <v>109</v>
      </c>
      <c r="Q27" s="45" t="s">
        <v>107</v>
      </c>
      <c r="R27" s="46" t="s">
        <v>106</v>
      </c>
    </row>
    <row r="28" spans="2:19" x14ac:dyDescent="0.25">
      <c r="B28" s="39">
        <v>1.3334999999999999</v>
      </c>
      <c r="C28" s="6">
        <v>-6</v>
      </c>
      <c r="D28" s="6">
        <f>Out!L91</f>
        <v>303.53422207328651</v>
      </c>
      <c r="F28" s="6">
        <f>Out!L94</f>
        <v>303.57237634834024</v>
      </c>
      <c r="G28" s="6" t="s">
        <v>66</v>
      </c>
      <c r="H28" s="6">
        <f t="shared" si="4"/>
        <v>394.94107770081735</v>
      </c>
      <c r="J28" s="6">
        <f t="shared" si="1"/>
        <v>698.47529977410386</v>
      </c>
      <c r="L28" s="40">
        <f t="shared" si="3"/>
        <v>698.51345404915764</v>
      </c>
      <c r="O28" s="39" t="s">
        <v>91</v>
      </c>
      <c r="P28" s="6" t="s">
        <v>76</v>
      </c>
      <c r="Q28" s="6" t="s">
        <v>76</v>
      </c>
      <c r="R28" s="40" t="s">
        <v>76</v>
      </c>
    </row>
    <row r="29" spans="2:19" ht="15.75" thickBot="1" x14ac:dyDescent="0.3">
      <c r="B29" s="41">
        <v>1.3339000000000001</v>
      </c>
      <c r="C29" s="42">
        <v>-5</v>
      </c>
      <c r="D29" s="42">
        <f>Out!L102</f>
        <v>303.62338793416086</v>
      </c>
      <c r="E29" s="42"/>
      <c r="F29" s="42">
        <f>Out!L105</f>
        <v>303.58604372311572</v>
      </c>
      <c r="G29" s="42" t="s">
        <v>66</v>
      </c>
      <c r="H29" s="42">
        <f t="shared" si="4"/>
        <v>395.05198437448701</v>
      </c>
      <c r="I29" s="42"/>
      <c r="J29" s="42">
        <f t="shared" si="1"/>
        <v>698.67537230864787</v>
      </c>
      <c r="K29" s="42"/>
      <c r="L29" s="43">
        <f t="shared" si="3"/>
        <v>698.63802809760273</v>
      </c>
      <c r="O29" s="39">
        <v>-11</v>
      </c>
      <c r="P29" s="6">
        <f>E33</f>
        <v>82.705184672532255</v>
      </c>
      <c r="Q29" s="6">
        <f>D33</f>
        <v>22.114658852783691</v>
      </c>
      <c r="R29" s="40">
        <f>F33</f>
        <v>58.262459563823199</v>
      </c>
    </row>
    <row r="30" spans="2:19" ht="15.75" thickBot="1" x14ac:dyDescent="0.3">
      <c r="O30" s="39">
        <v>-7</v>
      </c>
      <c r="P30" s="6">
        <f>E38</f>
        <v>73.256165159873945</v>
      </c>
      <c r="Q30" s="6">
        <f>D38</f>
        <v>11.717561423130974</v>
      </c>
      <c r="R30" s="40">
        <f>F38</f>
        <v>57.302163330198368</v>
      </c>
    </row>
    <row r="31" spans="2:19" ht="15.75" thickBot="1" x14ac:dyDescent="0.3">
      <c r="B31" s="44" t="s">
        <v>74</v>
      </c>
      <c r="C31" s="45"/>
      <c r="D31" s="45"/>
      <c r="E31" s="45"/>
      <c r="F31" s="46"/>
      <c r="O31" s="41">
        <v>-5</v>
      </c>
      <c r="P31" s="42" t="s">
        <v>98</v>
      </c>
      <c r="Q31" s="42">
        <f>D42</f>
        <v>57.634097331352109</v>
      </c>
      <c r="R31" s="43">
        <f>F42</f>
        <v>57.671441542397247</v>
      </c>
    </row>
    <row r="32" spans="2:19" x14ac:dyDescent="0.25">
      <c r="B32" s="49" t="s">
        <v>59</v>
      </c>
      <c r="C32" s="47" t="s">
        <v>82</v>
      </c>
      <c r="D32" s="47" t="s">
        <v>67</v>
      </c>
      <c r="E32" s="47" t="s">
        <v>68</v>
      </c>
      <c r="F32" s="48" t="s">
        <v>99</v>
      </c>
    </row>
    <row r="33" spans="2:6" x14ac:dyDescent="0.25">
      <c r="B33" s="39">
        <v>1.0134000000000001</v>
      </c>
      <c r="C33" s="6">
        <v>-11</v>
      </c>
      <c r="D33" s="6">
        <f t="shared" ref="D33:D42" si="5">D4-(D20+H20)</f>
        <v>22.114658852783691</v>
      </c>
      <c r="E33" s="6">
        <f>D4-(E20+H20)</f>
        <v>82.705184672532255</v>
      </c>
      <c r="F33" s="40">
        <f t="shared" ref="F33:F42" si="6">D4-(F20+H20)</f>
        <v>58.262459563823199</v>
      </c>
    </row>
    <row r="34" spans="2:6" x14ac:dyDescent="0.25">
      <c r="B34" s="39">
        <v>1.0226999999999999</v>
      </c>
      <c r="C34" s="6">
        <v>-10</v>
      </c>
      <c r="D34" s="6">
        <f t="shared" si="5"/>
        <v>19.87964293331288</v>
      </c>
      <c r="E34" s="6">
        <f t="shared" ref="E34:E39" si="7">D5-(E21+H21)</f>
        <v>71.161256976873119</v>
      </c>
      <c r="F34" s="40">
        <f t="shared" si="6"/>
        <v>58.428572436795321</v>
      </c>
    </row>
    <row r="35" spans="2:6" x14ac:dyDescent="0.25">
      <c r="B35" s="39">
        <v>1.0378000000000001</v>
      </c>
      <c r="C35" s="6">
        <v>-9</v>
      </c>
      <c r="D35" s="6">
        <f t="shared" si="5"/>
        <v>10.600657456897352</v>
      </c>
      <c r="E35" s="6">
        <f t="shared" si="7"/>
        <v>71.680445928276299</v>
      </c>
      <c r="F35" s="40">
        <f t="shared" si="6"/>
        <v>58.596915938035181</v>
      </c>
    </row>
    <row r="36" spans="2:6" x14ac:dyDescent="0.25">
      <c r="B36" s="39">
        <v>1.0612999999999999</v>
      </c>
      <c r="C36" s="6">
        <v>-8</v>
      </c>
      <c r="D36" s="6">
        <f t="shared" si="5"/>
        <v>5.4893885300721195</v>
      </c>
      <c r="E36" s="6">
        <f t="shared" si="7"/>
        <v>67.039520294216572</v>
      </c>
      <c r="F36" s="40">
        <f t="shared" si="6"/>
        <v>58.745698544622428</v>
      </c>
    </row>
    <row r="37" spans="2:6" x14ac:dyDescent="0.25">
      <c r="B37" s="39">
        <v>1.0955999999999999</v>
      </c>
      <c r="C37" s="6">
        <v>-7.0380049724146412</v>
      </c>
      <c r="D37" s="6">
        <f t="shared" si="5"/>
        <v>12.453945187804834</v>
      </c>
      <c r="E37" s="6">
        <f t="shared" si="7"/>
        <v>74.689830176147893</v>
      </c>
      <c r="F37" s="40">
        <f t="shared" si="6"/>
        <v>58.759220116803817</v>
      </c>
    </row>
    <row r="38" spans="2:6" x14ac:dyDescent="0.25">
      <c r="B38" s="39">
        <v>1.0992</v>
      </c>
      <c r="C38" s="6">
        <v>-7</v>
      </c>
      <c r="D38" s="6">
        <f t="shared" si="5"/>
        <v>11.717561423130974</v>
      </c>
      <c r="E38" s="6">
        <f>D9-(E25+H25)</f>
        <v>73.256165159873945</v>
      </c>
      <c r="F38" s="40">
        <f t="shared" si="6"/>
        <v>57.302163330198368</v>
      </c>
    </row>
    <row r="39" spans="2:6" x14ac:dyDescent="0.25">
      <c r="B39" s="39">
        <v>1.1335</v>
      </c>
      <c r="C39" s="6">
        <v>-6.6102847475282323</v>
      </c>
      <c r="D39" s="6">
        <f t="shared" si="5"/>
        <v>19.816815230173461</v>
      </c>
      <c r="E39" s="6">
        <f t="shared" si="7"/>
        <v>75.095266892699783</v>
      </c>
      <c r="F39" s="40">
        <f t="shared" si="6"/>
        <v>58.630332492930279</v>
      </c>
    </row>
    <row r="40" spans="2:6" x14ac:dyDescent="0.25">
      <c r="B40" s="39">
        <v>1.3333999999999999</v>
      </c>
      <c r="C40" s="6">
        <v>-6.6102847475282323</v>
      </c>
      <c r="D40" s="6">
        <f t="shared" si="5"/>
        <v>57.865835968861575</v>
      </c>
      <c r="F40" s="40">
        <f t="shared" si="6"/>
        <v>57.706545653792659</v>
      </c>
    </row>
    <row r="41" spans="2:6" x14ac:dyDescent="0.25">
      <c r="B41" s="39">
        <v>1.3334999999999999</v>
      </c>
      <c r="C41" s="6">
        <v>-6</v>
      </c>
      <c r="D41" s="6">
        <f t="shared" si="5"/>
        <v>57.83262266589611</v>
      </c>
      <c r="F41" s="40">
        <f t="shared" si="6"/>
        <v>57.794468390842326</v>
      </c>
    </row>
    <row r="42" spans="2:6" ht="15.75" thickBot="1" x14ac:dyDescent="0.3">
      <c r="B42" s="41">
        <v>1.3339000000000001</v>
      </c>
      <c r="C42" s="42">
        <v>-5</v>
      </c>
      <c r="D42" s="42">
        <f t="shared" si="5"/>
        <v>57.634097331352109</v>
      </c>
      <c r="E42" s="42"/>
      <c r="F42" s="43">
        <f t="shared" si="6"/>
        <v>57.671441542397247</v>
      </c>
    </row>
    <row r="43" spans="2:6" x14ac:dyDescent="0.25">
      <c r="B43" s="6" t="s">
        <v>111</v>
      </c>
    </row>
  </sheetData>
  <phoneticPr fontId="9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E A A B Q S w M E F A A C A A g A q W F O W U v w 2 k 6 k A A A A 9 Q A A A B I A H A B D b 2 5 m a W c v U G F j a 2 F n Z S 5 4 b W w g o h g A K K A U A A A A A A A A A A A A A A A A A A A A A A A A A A A A h Y 8 x D o I w G I W v Q r r T F o j R k J 8 y q J s k J i b G t S m 1 N E I x t F j u 5 u C R v I I Y R d 0 c 3 / e + 4 b 3 7 9 Q b 5 0 N T B R X Z W t y Z D E a Y o k E a 0 p T Y q Q 7 0 7 h g u U M 9 h y c e J K B q N s b D r Y M k O V c + e U E O 8 9 9 g l u O 0 V i S i N y K D Y 7 U c m G o 4 + s / 8 u h N t Z x I y R i s H + N Y T G O k g T P 5 p g C m R g U 2 n z 7 e J z 7 b H 8 g L P v a 9 Z 1 k p Q x X a y B T B P K + w B 5 Q S w M E F A A C A A g A q W F O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l h T l n D F P I m M Q E A A M E B A A A T A B w A R m 9 y b X V s Y X M v U 2 V j d G l v b j E u b S C i G A A o o B Q A A A A A A A A A A A A A A A A A A A A A A A A A A A B 1 k M 9 O w z A M x u + V + g 5 W d t m k E r W V u D D 1 Q r d x 4 4 8 6 c a E I h d Z s g T S p E n d a N e 1 t e B N e j L R F c C K X 2 P 6 + O D / b Y U X S a C i m O 1 m G Q R i 4 v b B Y w 4 w V e 2 M J 0 g 1 C q z o H S S H v U j g I 2 0 u 9 A 2 V 2 r U + l r l R X D 4 U V K h L w K F S H 3 p t e x j m D D B R S G I A / D x 0 q h b 6 S u w N f m a p r U N N 8 I x X y 3 G j y i Z u z 1 V U Z E x 4 J y z i + t + Y d P 8 b w Z X 1 E u + v L j e i F k n R x j d K 1 E l U 5 E n J P y A d C P h L y H 0 I + E f J f Q j 4 S 8 o m Q j 4 S c j s Q W 0 Z N X Z C M J b c a A R Z A b 1 T X a Z U k E a 1 2 Z 4 X H m / W n k p z C E B f U K s 7 + Q 3 x q N z 4 t o G n T G b v D r U 9 d o f T / Y 9 u 2 w h q 1 4 9 b 6 t F d q 9 G d t M H 3 g N 3 X x a T H Q 6 s a m a e A D y C g y L O J 8 X Y S D 1 f 5 2 X 3 1 B L A Q I t A B Q A A g A I A K l h T l l L 8 N p O p A A A A P U A A A A S A A A A A A A A A A A A A A A A A A A A A A B D b 2 5 m a W c v U G F j a 2 F n Z S 5 4 b W x Q S w E C L Q A U A A I A C A C p Y U 5 Z D 8 r p q 6 Q A A A D p A A A A E w A A A A A A A A A A A A A A A A D w A A A A W 0 N v b n R l b n R f V H l w Z X N d L n h t b F B L A Q I t A B Q A A g A I A K l h T l n D F P I m M Q E A A M E B A A A T A A A A A A A A A A A A A A A A A O E B A A B G b 3 J t d W x h c y 9 T Z W N 0 a W 9 u M S 5 t U E s F B g A A A A A D A A M A w g A A A F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k J A A A A A A A A R w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o b 3 J 0 J T I w M k Z l J T I w c G x 1 c y U y M D F T a U 8 y J T I w d m F y e W l u Z y U y M G x v Z 3 B P M i U y M G l u Y 2 x 1 Z G l u Z y U y M E R l b H R h J T I w V m F s d W V z J T I w M T I 1 M E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j N i O D M 1 N i 0 1 Y z l m L T Q x N j I t O G N m Z C 0 1 M T h l M j c 3 M 2 F l M G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c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E 0 V D E w O j A 5 O j A 4 L j Q x N j g y M T h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h v c n Q g M k Z l I H B s d X M g M V N p T z I g d m F y e W l u Z y B s b 2 d w T z I g a W 5 j b H V k a W 5 n I E R l b H R h I F Z h b H V l c y A x M j U w Q y 9 H Z c O k b m R l c n R l c i B U e X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2 h v c n Q g M k Z l I H B s d X M g M V N p T z I g d m F y e W l u Z y B s b 2 d w T z I g a W 5 j b H V k a W 5 n I E R l b H R h I F Z h b H V l c y A x M j U w Q y 9 H Z c O k b m R l c n R l c i B U e X A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b 3 J 0 J T I w M k Z l J T I w c G x 1 c y U y M D F T a U 8 y J T I w d m F y e W l u Z y U y M G x v Z 3 B P M i U y M G l u Y 2 x 1 Z G l u Z y U y M E R l b H R h J T I w V m F s d W V z J T I w M T I 1 M E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h v c n Q l M j A y R m U l M j B w b H V z J T I w M V N p T z I l M j B 2 Y X J 5 a W 5 n J T I w b G 9 n c E 8 y J T I w a W 5 j b H V k a W 5 n J T I w R G V s d G E l M j B W Y W x 1 Z X M l M j A x M j U w Q y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U T W E j d o b E + 0 A 9 l X a n C p M Q A A A A A C A A A A A A A Q Z g A A A A E A A C A A A A D h 7 + 1 / v u i i 5 R G B 2 w 2 u j K Y 0 b w 0 h 0 + D R M + c n w N 0 O M o y X v w A A A A A O g A A A A A I A A C A A A A D E D 4 b g a r s J M s 1 P 2 m H z 4 T t u M B j C I 1 I e b w P + w f h 8 1 9 K t p l A A A A A f X M t a h C e y X e m s e L f w q + s 8 a S k 0 i G k b D f x j G 6 e V Y d u P + I s 9 V u g s r p R I j F d k g D N F n C u t 6 U P u c o J T a N v w K c W 3 y k 8 s m o j / X 2 j w G + r J E U H 0 X H Z J H 0 A A A A C Y n 7 x U R p h c V w E H + b H Z g Y d t p 9 H 8 9 r B O s 5 p 4 u S N Z o 2 w U Z a i d h j j l B 5 a q S n i E I F D z R g 6 p T q F o Q O e X d e 6 F 9 m C L M C A c < / D a t a M a s h u p > 
</file>

<file path=customXml/itemProps1.xml><?xml version="1.0" encoding="utf-8"?>
<ds:datastoreItem xmlns:ds="http://schemas.openxmlformats.org/officeDocument/2006/customXml" ds:itemID="{481E8942-A08F-4BB1-936D-DC827BDF3C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</vt:lpstr>
      <vt:lpstr>Out</vt:lpstr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Hack</dc:creator>
  <cp:lastModifiedBy>MA Reuter</cp:lastModifiedBy>
  <dcterms:created xsi:type="dcterms:W3CDTF">2024-10-14T09:04:54Z</dcterms:created>
  <dcterms:modified xsi:type="dcterms:W3CDTF">2025-06-03T13:22:51Z</dcterms:modified>
</cp:coreProperties>
</file>